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ricsson.sharepoint.com/sites/InvestorRelations548/Shared Documents/General/15. Web/02. Content/05. ESG resource hub/"/>
    </mc:Choice>
  </mc:AlternateContent>
  <xr:revisionPtr revIDLastSave="0" documentId="8_{A6BD4F3F-14B8-4E1B-9587-11F5C55274A8}" xr6:coauthVersionLast="47" xr6:coauthVersionMax="47" xr10:uidLastSave="{00000000-0000-0000-0000-000000000000}"/>
  <bookViews>
    <workbookView xWindow="-110" yWindow="-110" windowWidth="19420" windowHeight="11500" activeTab="2" xr2:uid="{AAF6839F-8B77-401C-B010-8310DBB0B088}"/>
  </bookViews>
  <sheets>
    <sheet name="Environmental Data" sheetId="16" r:id="rId1"/>
    <sheet name="Social Data" sheetId="17" r:id="rId2"/>
    <sheet name="Governance Data" sheetId="18" r:id="rId3"/>
  </sheets>
  <externalReferences>
    <externalReference r:id="rId4"/>
  </externalReferences>
  <definedNames>
    <definedName name="SelQ_E">'[1]Period Admin'!$J$10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6" l="1"/>
  <c r="H82" i="17"/>
  <c r="H78" i="17"/>
  <c r="H60" i="16"/>
  <c r="H59" i="16"/>
  <c r="H58" i="16"/>
  <c r="H57" i="16"/>
  <c r="H52" i="17"/>
  <c r="I52" i="17"/>
  <c r="J52" i="17"/>
  <c r="K52" i="17"/>
  <c r="J60" i="16"/>
  <c r="I60" i="16"/>
  <c r="J55" i="16"/>
  <c r="I57" i="16"/>
  <c r="J57" i="16"/>
  <c r="J56" i="16"/>
  <c r="I56" i="16"/>
  <c r="H56" i="16"/>
  <c r="I55" i="16"/>
  <c r="H55" i="16"/>
  <c r="H34" i="18"/>
  <c r="H17" i="18"/>
  <c r="H11" i="18"/>
  <c r="H7" i="18"/>
  <c r="H61" i="16" l="1"/>
  <c r="H39" i="16"/>
  <c r="H34" i="16"/>
  <c r="H33" i="16"/>
  <c r="H32" i="16"/>
  <c r="H31" i="16"/>
  <c r="H30" i="16"/>
  <c r="H29" i="16"/>
  <c r="H28" i="16"/>
  <c r="H27" i="16"/>
  <c r="H26" i="16"/>
  <c r="H25" i="16"/>
  <c r="H23" i="16"/>
  <c r="H22" i="16"/>
  <c r="H21" i="16"/>
  <c r="I21" i="16"/>
  <c r="H14" i="16"/>
  <c r="H13" i="16"/>
  <c r="H9" i="16"/>
  <c r="H11" i="16"/>
  <c r="H10" i="16"/>
  <c r="H8" i="16"/>
  <c r="H7" i="16"/>
  <c r="H19" i="17"/>
  <c r="I19" i="17"/>
  <c r="H32" i="17"/>
  <c r="H94" i="17"/>
  <c r="H69" i="16"/>
  <c r="I34" i="16"/>
  <c r="I32" i="16"/>
  <c r="I27" i="16"/>
  <c r="M34" i="16"/>
  <c r="M33" i="16"/>
  <c r="M32" i="16"/>
  <c r="M31" i="16"/>
  <c r="M30" i="16"/>
  <c r="M29" i="16"/>
  <c r="M28" i="16"/>
  <c r="M27" i="16"/>
  <c r="M23" i="16"/>
  <c r="M22" i="16"/>
  <c r="M21" i="16"/>
  <c r="H15" i="16" l="1"/>
  <c r="H35" i="16"/>
  <c r="I9" i="16"/>
  <c r="I31" i="17"/>
  <c r="I30" i="17"/>
  <c r="I29" i="17"/>
  <c r="I28" i="17"/>
  <c r="I27" i="17"/>
  <c r="I94" i="17" l="1"/>
  <c r="I32" i="17"/>
  <c r="I34" i="18"/>
  <c r="I17" i="18"/>
  <c r="I11" i="18"/>
  <c r="I7" i="18"/>
  <c r="I59" i="16"/>
  <c r="I58" i="16"/>
  <c r="I69" i="16"/>
  <c r="I39" i="16"/>
  <c r="J39" i="16"/>
  <c r="J33" i="16"/>
  <c r="I33" i="16"/>
  <c r="I31" i="16"/>
  <c r="I30" i="16"/>
  <c r="I29" i="16"/>
  <c r="I28" i="16"/>
  <c r="I26" i="16"/>
  <c r="I25" i="16"/>
  <c r="I23" i="16"/>
  <c r="I22" i="16"/>
  <c r="I14" i="16"/>
  <c r="I13" i="16"/>
  <c r="I11" i="16"/>
  <c r="I10" i="16"/>
  <c r="I8" i="16"/>
  <c r="I7" i="16"/>
  <c r="L34" i="16"/>
  <c r="L33" i="16"/>
  <c r="L31" i="16"/>
  <c r="L30" i="16"/>
  <c r="L26" i="16"/>
  <c r="L25" i="16"/>
  <c r="L23" i="16"/>
  <c r="L22" i="16"/>
  <c r="L21" i="16"/>
  <c r="K23" i="16"/>
  <c r="K21" i="16"/>
  <c r="K22" i="16"/>
  <c r="K34" i="16"/>
  <c r="K31" i="16"/>
  <c r="K30" i="16"/>
  <c r="K27" i="16"/>
  <c r="K25" i="16"/>
  <c r="K26" i="16"/>
  <c r="L29" i="16"/>
  <c r="K29" i="16"/>
  <c r="J29" i="16"/>
  <c r="J11" i="18"/>
  <c r="J17" i="18"/>
  <c r="J7" i="18"/>
  <c r="J34" i="18"/>
  <c r="J94" i="17"/>
  <c r="J32" i="17"/>
  <c r="J59" i="16"/>
  <c r="J58" i="16"/>
  <c r="J61" i="16" s="1"/>
  <c r="J69" i="16"/>
  <c r="J34" i="16"/>
  <c r="K33" i="16"/>
  <c r="L32" i="16"/>
  <c r="K32" i="16"/>
  <c r="J32" i="16"/>
  <c r="J31" i="16"/>
  <c r="J30" i="16"/>
  <c r="L28" i="16"/>
  <c r="K28" i="16"/>
  <c r="J28" i="16"/>
  <c r="L27" i="16"/>
  <c r="J27" i="16"/>
  <c r="J26" i="16"/>
  <c r="J25" i="16"/>
  <c r="J22" i="16"/>
  <c r="J23" i="16"/>
  <c r="J21" i="16"/>
  <c r="J14" i="16"/>
  <c r="J13" i="16"/>
  <c r="J11" i="16"/>
  <c r="J10" i="16"/>
  <c r="J9" i="16"/>
  <c r="J8" i="16"/>
  <c r="J7" i="16"/>
  <c r="K32" i="17"/>
  <c r="I61" i="16" l="1"/>
  <c r="I15" i="16"/>
  <c r="I35" i="16"/>
  <c r="J15" i="16"/>
  <c r="J35" i="16"/>
  <c r="L69" i="16"/>
  <c r="M69" i="16"/>
  <c r="K69" i="16"/>
  <c r="M35" i="16"/>
  <c r="K34" i="18"/>
  <c r="K17" i="18"/>
  <c r="K11" i="18"/>
  <c r="K7" i="18"/>
  <c r="K94" i="17"/>
  <c r="L52" i="17"/>
  <c r="L35" i="16" l="1"/>
  <c r="O35" i="16"/>
  <c r="K39" i="16"/>
  <c r="L39" i="16"/>
  <c r="N35" i="16"/>
  <c r="P35" i="16"/>
  <c r="Q35" i="16"/>
  <c r="K35" i="16"/>
  <c r="M15" i="16"/>
  <c r="L15" i="16"/>
  <c r="K15" i="16"/>
  <c r="L17" i="18"/>
  <c r="L11" i="18"/>
  <c r="L7" i="18"/>
  <c r="L94" i="17"/>
  <c r="L32" i="17"/>
  <c r="Q94" i="17"/>
  <c r="P94" i="17"/>
  <c r="O94" i="17"/>
  <c r="N94" i="17"/>
  <c r="M94" i="17"/>
  <c r="Q17" i="18"/>
  <c r="P17" i="18"/>
  <c r="O17" i="18"/>
  <c r="N17" i="18"/>
  <c r="Q11" i="18"/>
  <c r="P11" i="18"/>
  <c r="O11" i="18"/>
  <c r="N11" i="18"/>
  <c r="M17" i="18"/>
  <c r="M11" i="18"/>
  <c r="Q7" i="18"/>
  <c r="P7" i="18"/>
  <c r="O7" i="18"/>
  <c r="N7" i="18"/>
  <c r="M7" i="18"/>
  <c r="Q52" i="17"/>
  <c r="P52" i="17"/>
  <c r="O52" i="17"/>
  <c r="N52" i="17"/>
  <c r="M52" i="17"/>
  <c r="P32" i="17"/>
  <c r="O32" i="17"/>
  <c r="N32" i="17"/>
  <c r="M32" i="17"/>
  <c r="Q32" i="17"/>
  <c r="Q39" i="16"/>
  <c r="P39" i="16"/>
  <c r="O39" i="16"/>
  <c r="N39" i="16"/>
  <c r="M39" i="16"/>
</calcChain>
</file>

<file path=xl/sharedStrings.xml><?xml version="1.0" encoding="utf-8"?>
<sst xmlns="http://schemas.openxmlformats.org/spreadsheetml/2006/main" count="893" uniqueCount="199">
  <si>
    <t>Environmental Data</t>
  </si>
  <si>
    <t>External assurance</t>
  </si>
  <si>
    <t>Unit of measurement</t>
  </si>
  <si>
    <t>Energy travel and transport</t>
  </si>
  <si>
    <r>
      <rPr>
        <b/>
        <sz val="7"/>
        <color rgb="FF191919"/>
        <rFont val="Ericsson Hilda Non Slant"/>
        <family val="3"/>
      </rPr>
      <t>Energy consumption and mix</t>
    </r>
    <r>
      <rPr>
        <b/>
        <vertAlign val="superscript"/>
        <sz val="7"/>
        <color rgb="FF191919"/>
        <rFont val="Ericsson Hilda Non Slant"/>
        <family val="3"/>
      </rPr>
      <t xml:space="preserve"> </t>
    </r>
  </si>
  <si>
    <t>Non-renewable sources</t>
  </si>
  <si>
    <t>Fuel consumption from oil and petroleum products</t>
  </si>
  <si>
    <t>✓</t>
  </si>
  <si>
    <t>GWh</t>
  </si>
  <si>
    <t>*</t>
  </si>
  <si>
    <t>Fuel consumption from natural gas</t>
  </si>
  <si>
    <t>Purchased or acquired electricity</t>
  </si>
  <si>
    <t>Purchased or acquired heat</t>
  </si>
  <si>
    <t>Purchased or acquired cooling</t>
  </si>
  <si>
    <t>Renewable sources</t>
  </si>
  <si>
    <t>Consumption of self-generated non-fuel
renewable energy</t>
  </si>
  <si>
    <t>Total</t>
  </si>
  <si>
    <t>GWh/Net sales bSEK</t>
  </si>
  <si>
    <t>GHG emissions</t>
  </si>
  <si>
    <t>Scope 1</t>
  </si>
  <si>
    <t>✓✓</t>
  </si>
  <si>
    <t>Scope 2  (gross-market based)</t>
  </si>
  <si>
    <t>Scope 2 (gross-location based)</t>
  </si>
  <si>
    <t>-</t>
  </si>
  <si>
    <t>Scope 3</t>
  </si>
  <si>
    <t>Category 1 - Purchased goods and services</t>
  </si>
  <si>
    <t>Category 2 - Capital goods</t>
  </si>
  <si>
    <t>Category 3 - Fuel- and energy-related activities not included in Scope 1 or Scope 2</t>
  </si>
  <si>
    <t>Category 4 - Upstream transportation and distribution</t>
  </si>
  <si>
    <t>Category 5- Waste generated in operations</t>
  </si>
  <si>
    <t xml:space="preserve">Category 6  - Business travel </t>
  </si>
  <si>
    <t xml:space="preserve">Category 7 - Employee commuting (incl. teleworking) </t>
  </si>
  <si>
    <t xml:space="preserve">Category 9 - Downstream transportation and distribution </t>
  </si>
  <si>
    <t xml:space="preserve">Category 11 - Use of sold products </t>
  </si>
  <si>
    <t>Category 12 - End-of-life treatment of sold products</t>
  </si>
  <si>
    <t>Total Scope 1, 2 (market based) and 3</t>
  </si>
  <si>
    <t>Ktonne CO2e</t>
  </si>
  <si>
    <t>Emissions intensity Scope 1</t>
  </si>
  <si>
    <t>Emissions intensity Scope 2 - market based</t>
  </si>
  <si>
    <t>Other emissions to air</t>
  </si>
  <si>
    <t>NOx</t>
  </si>
  <si>
    <t>Metric tons</t>
  </si>
  <si>
    <t>SOx</t>
  </si>
  <si>
    <t>Particle Matters</t>
  </si>
  <si>
    <t>Waste generated at company facilities - by disposal method</t>
  </si>
  <si>
    <t>Reuse</t>
  </si>
  <si>
    <t>Recycling</t>
  </si>
  <si>
    <t>Energy recovery (incineration)</t>
  </si>
  <si>
    <t>Landfill</t>
  </si>
  <si>
    <t xml:space="preserve">Collected e-waste volumes, by disposal method </t>
  </si>
  <si>
    <t>Water</t>
  </si>
  <si>
    <t>Total water consumption</t>
  </si>
  <si>
    <t xml:space="preserve">* Due to updates and refinement of measurement methodologies, comparative data is not always available for all years covered by this factbook. Ericsson aims at providing comparable comparative data but this is not always possible to provide for in retrospect. </t>
  </si>
  <si>
    <t>✓ Limited assurance</t>
  </si>
  <si>
    <t>✓✓ Reasonable assurance</t>
  </si>
  <si>
    <t>Social Data</t>
  </si>
  <si>
    <t>Information on employees and other workers</t>
  </si>
  <si>
    <t>Workforce composition</t>
  </si>
  <si>
    <t>Employee headcount at year end</t>
  </si>
  <si>
    <t>#</t>
  </si>
  <si>
    <t>Average number of employees</t>
  </si>
  <si>
    <t>Temporary employee headcount at year end</t>
  </si>
  <si>
    <t>External workforce headcount at year end</t>
  </si>
  <si>
    <t>North America</t>
  </si>
  <si>
    <t>Employee movements</t>
  </si>
  <si>
    <t>Hire rate</t>
  </si>
  <si>
    <t>%</t>
  </si>
  <si>
    <t>Turnover</t>
  </si>
  <si>
    <t>Positions filled by internal candidates</t>
  </si>
  <si>
    <t>Employee diversity - age groups</t>
  </si>
  <si>
    <t>&lt; 25</t>
  </si>
  <si>
    <t>25 - 35</t>
  </si>
  <si>
    <t>36 - 45</t>
  </si>
  <si>
    <t>46 - 55</t>
  </si>
  <si>
    <t>&gt; 55</t>
  </si>
  <si>
    <t>Employee diversity - share of women by employee category</t>
  </si>
  <si>
    <t>All employees</t>
  </si>
  <si>
    <t>Top management</t>
  </si>
  <si>
    <t>Employee training and development</t>
  </si>
  <si>
    <t>Average hours of training per employee</t>
  </si>
  <si>
    <t>Hours/year</t>
  </si>
  <si>
    <t>Share of employees receiving performance evaluations</t>
  </si>
  <si>
    <t>Employee engagement</t>
  </si>
  <si>
    <t>Employee satisfaction</t>
  </si>
  <si>
    <t>Wages, salaries and social security expenses</t>
  </si>
  <si>
    <t>Wages and salaries</t>
  </si>
  <si>
    <t>mSEK</t>
  </si>
  <si>
    <t>Social security expenses</t>
  </si>
  <si>
    <t>Of which pension costs</t>
  </si>
  <si>
    <t>Ratio of compensation of women to men</t>
  </si>
  <si>
    <t>Base salary</t>
  </si>
  <si>
    <t>Total compensation</t>
  </si>
  <si>
    <t>CEO to average employee compensation</t>
  </si>
  <si>
    <t>Base salary - Sweden</t>
  </si>
  <si>
    <t>Ratio</t>
  </si>
  <si>
    <t>24:1</t>
  </si>
  <si>
    <t>25:1</t>
  </si>
  <si>
    <t>27:1</t>
  </si>
  <si>
    <t>26:1</t>
  </si>
  <si>
    <t>Base salary - Global</t>
  </si>
  <si>
    <t>38:1</t>
  </si>
  <si>
    <t>37:1</t>
  </si>
  <si>
    <t>39:1</t>
  </si>
  <si>
    <t>40:1</t>
  </si>
  <si>
    <t>48:1</t>
  </si>
  <si>
    <t>Total compensation - Sweden</t>
  </si>
  <si>
    <t>75:1</t>
  </si>
  <si>
    <t>73:1</t>
  </si>
  <si>
    <t>76:1</t>
  </si>
  <si>
    <t>74:1</t>
  </si>
  <si>
    <t>Total compensation - Global</t>
  </si>
  <si>
    <t>109:1</t>
  </si>
  <si>
    <t>100:1</t>
  </si>
  <si>
    <t>103:1</t>
  </si>
  <si>
    <t>124:1</t>
  </si>
  <si>
    <t>Occupational health and safety</t>
  </si>
  <si>
    <t>Fatalities</t>
  </si>
  <si>
    <t>Employees</t>
  </si>
  <si>
    <t>Fatality rate - employees</t>
  </si>
  <si>
    <t>Fatalities per 500 FTE</t>
  </si>
  <si>
    <t>Sensitive business - assessment of human rights impacts in sales opportunities</t>
  </si>
  <si>
    <t>Sales opportunities assessed - by recommendations</t>
  </si>
  <si>
    <t>No mitigations required</t>
  </si>
  <si>
    <t>Mitigations required</t>
  </si>
  <si>
    <t>Advised against</t>
  </si>
  <si>
    <t>Governance Data</t>
  </si>
  <si>
    <t>Board composition</t>
  </si>
  <si>
    <t>Directors appointed by the AGM (including the CEO)</t>
  </si>
  <si>
    <t>Directors appointed by the trade unions (not including deputy employee representatives)</t>
  </si>
  <si>
    <t>Male directors</t>
  </si>
  <si>
    <t>Female directors</t>
  </si>
  <si>
    <t>Independent directors appointed by the AGM</t>
  </si>
  <si>
    <t>Female directors appointed by the AGM</t>
  </si>
  <si>
    <t>Male directors appointed by the AGM</t>
  </si>
  <si>
    <t>Compliance and anti-bribery and corruption (ABC)</t>
  </si>
  <si>
    <t>Reported compliance concerns</t>
  </si>
  <si>
    <t>Reported cases</t>
  </si>
  <si>
    <t>Substantiated cases</t>
  </si>
  <si>
    <t xml:space="preserve">Reported concerns by category </t>
  </si>
  <si>
    <t>Fraud, corruption and regulatroy breach</t>
  </si>
  <si>
    <t>Conflicts of interest</t>
  </si>
  <si>
    <t>Human resources</t>
  </si>
  <si>
    <t>Discrimination</t>
  </si>
  <si>
    <t>Harassment</t>
  </si>
  <si>
    <t>Human rights</t>
  </si>
  <si>
    <t>Operations</t>
  </si>
  <si>
    <t>Other</t>
  </si>
  <si>
    <t>Compliance training and awareness</t>
  </si>
  <si>
    <t>Code of Business Ethics acknowledgement rate (full workforce)</t>
  </si>
  <si>
    <t>Supply chain management</t>
  </si>
  <si>
    <t>Code of Conduct supplier audits</t>
  </si>
  <si>
    <t>Number of audits</t>
  </si>
  <si>
    <t>Share of audited suppliers with nonconformities</t>
  </si>
  <si>
    <t>Share of audited suppliers with critical nonconformities</t>
  </si>
  <si>
    <t>Corrective action rate - all nonconformities</t>
  </si>
  <si>
    <t>Corrective action rate - critical nonconformities</t>
  </si>
  <si>
    <t>Resource inflows</t>
  </si>
  <si>
    <t>Resource use</t>
  </si>
  <si>
    <t>Europe &amp; Central Asia</t>
  </si>
  <si>
    <t>South Asia</t>
  </si>
  <si>
    <t>East Asia &amp; the Pacific</t>
  </si>
  <si>
    <t>Latin America &amp; the Caribbean</t>
  </si>
  <si>
    <t>Middle East &amp; North Africa</t>
  </si>
  <si>
    <t>Sub-Saharan Africa</t>
  </si>
  <si>
    <t>Employee headcount per region</t>
  </si>
  <si>
    <t>Other managers</t>
  </si>
  <si>
    <t>Non-managerial employees: non-technical (STEM) employees</t>
  </si>
  <si>
    <t>Non-managerial employees: technical (STEM) employees</t>
  </si>
  <si>
    <t>Collective bargaining</t>
  </si>
  <si>
    <t>Group-wide coverage of collective bargaining agreements</t>
  </si>
  <si>
    <t>Adequate wages</t>
  </si>
  <si>
    <t>Share of employees receiving adequate wages</t>
  </si>
  <si>
    <t xml:space="preserve">Lost-workday accidents (LWA) </t>
  </si>
  <si>
    <t>Non employees in own workforce, other workers</t>
  </si>
  <si>
    <t>Non-employees in own workforce, other workers, and third parties</t>
  </si>
  <si>
    <t xml:space="preserve">Recordable work-related accidents (RWA) </t>
  </si>
  <si>
    <t>Accidents per 500 FTE</t>
  </si>
  <si>
    <t>RWA rate</t>
  </si>
  <si>
    <t>LWA rate</t>
  </si>
  <si>
    <t>0.29</t>
  </si>
  <si>
    <t>**For further information about measurement methodologies, please refer to the Sustainability Statement.</t>
  </si>
  <si>
    <t>Average invoice payment time</t>
  </si>
  <si>
    <t># of days</t>
  </si>
  <si>
    <t>Political influence and lobbying activities</t>
  </si>
  <si>
    <t>Financial contributions</t>
  </si>
  <si>
    <t>kSEK</t>
  </si>
  <si>
    <t>Energy intensity - own operations</t>
  </si>
  <si>
    <t>Payment practices</t>
  </si>
  <si>
    <t>Other disposal</t>
  </si>
  <si>
    <t>out of which hazardous waste</t>
  </si>
  <si>
    <t>Other recovery operations</t>
  </si>
  <si>
    <t>Total weight of products and material composition</t>
  </si>
  <si>
    <t>Share of recycled and non-virgin materials, relative</t>
  </si>
  <si>
    <t>eSAT score (0-100)</t>
  </si>
  <si>
    <t>Code of Business ethics online training completion rate (full workforce)</t>
  </si>
  <si>
    <t>Targeted ABC training - completion rate (at-risk functions)</t>
  </si>
  <si>
    <r>
      <t>Ktonne CO</t>
    </r>
    <r>
      <rPr>
        <vertAlign val="subscript"/>
        <sz val="7"/>
        <color theme="1"/>
        <rFont val="Ericsson Hilda Non Slant"/>
        <family val="3"/>
      </rPr>
      <t>2</t>
    </r>
    <r>
      <rPr>
        <sz val="7"/>
        <color theme="1"/>
        <rFont val="Ericsson Hilda Non Slant"/>
        <family val="3"/>
      </rPr>
      <t>e</t>
    </r>
  </si>
  <si>
    <r>
      <t>Ktonne CO</t>
    </r>
    <r>
      <rPr>
        <vertAlign val="subscript"/>
        <sz val="7"/>
        <color theme="1"/>
        <rFont val="Ericsson Hilda Non Slant"/>
        <family val="3"/>
      </rPr>
      <t>2</t>
    </r>
    <r>
      <rPr>
        <sz val="7"/>
        <color theme="1"/>
        <rFont val="Ericsson Hilda Non Slant"/>
        <family val="3"/>
      </rPr>
      <t>e / net sales bSEK</t>
    </r>
  </si>
  <si>
    <r>
      <t>Mm</t>
    </r>
    <r>
      <rPr>
        <vertAlign val="superscript"/>
        <sz val="7"/>
        <color theme="1"/>
        <rFont val="Ericsson Hilda Non Slant"/>
        <family val="3"/>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</si>
</sst>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j;\-#,##0_j;\-_j;@_j"/>
    <numFmt numFmtId="165" formatCode="_j#,##0;_j\-#,##0;_j0;_j@"/>
    <numFmt numFmtId="166" formatCode="_-* #,##0.0_-;\-* #,##0.0_-;_-* &quot;-&quot;??_-;_-@_-"/>
    <numFmt numFmtId="167" formatCode="_-* #,##0_-;\-* #,##0_-;_-* &quot;-&quot;??_-;_-@_-"/>
    <numFmt numFmtId="168" formatCode="#,##0.000"/>
    <numFmt numFmtId="169" formatCode="0.0%"/>
  </numFmts>
  <fonts count="22" x14ac:knownFonts="1">
    <font>
      <sz val="11"/>
      <color theme="1"/>
      <name val="Calibri"/>
      <family val="2"/>
      <scheme val="minor"/>
    </font>
    <font>
      <sz val="11"/>
      <color theme="1"/>
      <name val="Calibri"/>
      <family val="2"/>
      <scheme val="minor"/>
    </font>
    <font>
      <b/>
      <sz val="7"/>
      <color theme="1"/>
      <name val="Calibri"/>
      <family val="3"/>
      <scheme val="minor"/>
    </font>
    <font>
      <sz val="7"/>
      <color theme="1"/>
      <name val="Calibri"/>
      <family val="3"/>
      <scheme val="minor"/>
    </font>
    <font>
      <b/>
      <sz val="8"/>
      <name val="Calibri"/>
      <family val="2"/>
      <scheme val="minor"/>
    </font>
    <font>
      <sz val="11"/>
      <color theme="1"/>
      <name val="Ericsson Hilda Non Slant"/>
      <family val="3"/>
    </font>
    <font>
      <sz val="20"/>
      <color rgb="FF0082F0"/>
      <name val="Ericsson Hilda Non Slant"/>
      <family val="3"/>
    </font>
    <font>
      <sz val="7"/>
      <color rgb="FF191919"/>
      <name val="Ericsson Hilda Non Slant"/>
      <family val="3"/>
    </font>
    <font>
      <b/>
      <sz val="7"/>
      <color rgb="FF191919"/>
      <name val="Ericsson Hilda Non Slant"/>
      <family val="3"/>
    </font>
    <font>
      <b/>
      <sz val="7"/>
      <color theme="1"/>
      <name val="Ericsson Hilda Non Slant"/>
      <family val="3"/>
    </font>
    <font>
      <sz val="7"/>
      <color theme="1"/>
      <name val="Ericsson Hilda Non Slant"/>
      <family val="3"/>
    </font>
    <font>
      <i/>
      <sz val="7"/>
      <color theme="1"/>
      <name val="Ericsson Hilda Non Slant"/>
      <family val="3"/>
    </font>
    <font>
      <sz val="8"/>
      <color theme="1"/>
      <name val="Ericsson Hilda Non Slant"/>
      <family val="3"/>
    </font>
    <font>
      <sz val="7"/>
      <name val="Ericsson Hilda Non Slant"/>
      <family val="3"/>
    </font>
    <font>
      <b/>
      <i/>
      <sz val="7"/>
      <color rgb="FF191919"/>
      <name val="Ericsson Hilda Non Slant"/>
      <family val="3"/>
    </font>
    <font>
      <b/>
      <vertAlign val="superscript"/>
      <sz val="7"/>
      <color rgb="FF191919"/>
      <name val="Ericsson Hilda Non Slant"/>
      <family val="3"/>
    </font>
    <font>
      <sz val="7"/>
      <color theme="6"/>
      <name val="Ericsson Hilda Non Slant"/>
      <family val="3"/>
    </font>
    <font>
      <sz val="11"/>
      <color theme="6"/>
      <name val="Ericsson Hilda Non Slant"/>
      <family val="3"/>
    </font>
    <font>
      <i/>
      <sz val="11"/>
      <color theme="1"/>
      <name val="Ericsson Hilda Non Slant"/>
      <family val="3"/>
    </font>
    <font>
      <b/>
      <i/>
      <sz val="7"/>
      <color theme="1"/>
      <name val="Ericsson Hilda Non Slant"/>
      <family val="3"/>
    </font>
    <font>
      <vertAlign val="subscript"/>
      <sz val="7"/>
      <color theme="1"/>
      <name val="Ericsson Hilda Non Slant"/>
      <family val="3"/>
    </font>
    <font>
      <vertAlign val="superscript"/>
      <sz val="7"/>
      <color theme="1"/>
      <name val="Ericsson Hilda Non Slant"/>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
    <border>
      <left/>
      <right/>
      <top/>
      <bottom/>
      <diagonal/>
    </border>
    <border>
      <left/>
      <right/>
      <top style="hair">
        <color rgb="FFA8A8A8"/>
      </top>
      <bottom style="hair">
        <color rgb="FFA8A8A8"/>
      </bottom>
      <diagonal/>
    </border>
    <border>
      <left/>
      <right/>
      <top/>
      <bottom style="thin">
        <color rgb="FF0082F0"/>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wrapText="1"/>
    </xf>
    <xf numFmtId="164" fontId="3" fillId="0" borderId="1" applyFont="0" applyFill="0" applyBorder="0" applyProtection="0">
      <alignment horizontal="right" vertical="top" wrapText="1"/>
    </xf>
    <xf numFmtId="165" fontId="4" fillId="0" borderId="2" applyNumberFormat="0" applyFont="0" applyFill="0" applyAlignment="0" applyProtection="0">
      <alignment horizontal="left" wrapText="1"/>
    </xf>
    <xf numFmtId="43" fontId="1" fillId="0" borderId="0" applyFont="0" applyFill="0" applyBorder="0" applyAlignment="0" applyProtection="0"/>
  </cellStyleXfs>
  <cellXfs count="201">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right" vertical="center" wrapText="1"/>
    </xf>
    <xf numFmtId="0" fontId="9"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right"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7" fillId="0" borderId="3" xfId="0" applyFont="1" applyBorder="1" applyAlignment="1">
      <alignment horizontal="left" vertical="center" wrapText="1"/>
    </xf>
    <xf numFmtId="0" fontId="9" fillId="0" borderId="3" xfId="0" applyFont="1" applyBorder="1" applyAlignment="1">
      <alignment horizontal="righ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wrapText="1"/>
    </xf>
    <xf numFmtId="0" fontId="9" fillId="0" borderId="5" xfId="0" applyFont="1" applyBorder="1" applyAlignment="1">
      <alignment horizontal="right" vertical="center"/>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167" fontId="10" fillId="0" borderId="4" xfId="5" applyNumberFormat="1" applyFont="1" applyBorder="1" applyAlignment="1">
      <alignment horizontal="right" vertical="center"/>
    </xf>
    <xf numFmtId="167" fontId="7" fillId="0" borderId="4" xfId="5" applyNumberFormat="1" applyFont="1" applyBorder="1" applyAlignment="1">
      <alignment horizontal="left" vertical="center"/>
    </xf>
    <xf numFmtId="167" fontId="7" fillId="0" borderId="6" xfId="5" applyNumberFormat="1" applyFont="1" applyBorder="1" applyAlignment="1">
      <alignment horizontal="left" vertical="center"/>
    </xf>
    <xf numFmtId="0" fontId="7" fillId="0" borderId="5" xfId="0" applyFont="1" applyBorder="1" applyAlignment="1">
      <alignment horizontal="left" vertical="center"/>
    </xf>
    <xf numFmtId="167" fontId="7" fillId="0" borderId="5" xfId="5" applyNumberFormat="1" applyFont="1" applyBorder="1" applyAlignment="1">
      <alignment horizontal="left" vertical="center"/>
    </xf>
    <xf numFmtId="0" fontId="8" fillId="2" borderId="0" xfId="0" applyFont="1" applyFill="1" applyAlignment="1">
      <alignment horizontal="right" vertical="center" wrapText="1"/>
    </xf>
    <xf numFmtId="167" fontId="7" fillId="0" borderId="0" xfId="5" applyNumberFormat="1" applyFont="1" applyBorder="1" applyAlignment="1">
      <alignment horizontal="left" vertical="center"/>
    </xf>
    <xf numFmtId="167" fontId="10" fillId="2" borderId="4" xfId="5" applyNumberFormat="1" applyFont="1" applyFill="1" applyBorder="1" applyAlignment="1">
      <alignment horizontal="right" vertical="center"/>
    </xf>
    <xf numFmtId="9" fontId="10" fillId="0" borderId="4" xfId="1" applyFont="1" applyBorder="1" applyAlignment="1">
      <alignment horizontal="right" vertical="center"/>
    </xf>
    <xf numFmtId="9" fontId="10" fillId="0" borderId="6" xfId="1" applyFont="1" applyBorder="1" applyAlignment="1">
      <alignment horizontal="right" vertical="center"/>
    </xf>
    <xf numFmtId="167" fontId="10" fillId="0" borderId="0" xfId="5" applyNumberFormat="1" applyFont="1" applyBorder="1" applyAlignment="1">
      <alignment horizontal="right" vertical="center"/>
    </xf>
    <xf numFmtId="164" fontId="10" fillId="0" borderId="0" xfId="3" applyFont="1" applyFill="1" applyBorder="1" applyAlignment="1">
      <alignment horizontal="left" vertical="center"/>
    </xf>
    <xf numFmtId="164" fontId="10" fillId="0" borderId="5" xfId="3" applyFont="1" applyFill="1" applyBorder="1" applyAlignment="1">
      <alignment horizontal="left" vertical="center"/>
    </xf>
    <xf numFmtId="167" fontId="10" fillId="0" borderId="4" xfId="5" applyNumberFormat="1" applyFont="1" applyFill="1" applyBorder="1" applyAlignment="1">
      <alignment horizontal="left" vertical="center"/>
    </xf>
    <xf numFmtId="167" fontId="10" fillId="0" borderId="6" xfId="5" applyNumberFormat="1" applyFont="1" applyFill="1" applyBorder="1" applyAlignment="1">
      <alignment horizontal="left" vertical="center"/>
    </xf>
    <xf numFmtId="167" fontId="10" fillId="0" borderId="5" xfId="5" applyNumberFormat="1" applyFont="1" applyFill="1" applyBorder="1" applyAlignment="1">
      <alignment horizontal="left" vertical="center"/>
    </xf>
    <xf numFmtId="166" fontId="10" fillId="0" borderId="4" xfId="5" applyNumberFormat="1" applyFont="1" applyFill="1" applyBorder="1" applyAlignment="1">
      <alignment horizontal="left" vertical="center"/>
    </xf>
    <xf numFmtId="167" fontId="10" fillId="0" borderId="4" xfId="5" applyNumberFormat="1" applyFont="1" applyFill="1" applyBorder="1" applyAlignment="1">
      <alignment horizontal="right" vertical="center"/>
    </xf>
    <xf numFmtId="167" fontId="7" fillId="0" borderId="4" xfId="5" applyNumberFormat="1" applyFont="1" applyFill="1" applyBorder="1" applyAlignment="1">
      <alignment horizontal="left" vertical="center"/>
    </xf>
    <xf numFmtId="167" fontId="10" fillId="0" borderId="0" xfId="5" applyNumberFormat="1" applyFont="1" applyFill="1" applyBorder="1" applyAlignment="1">
      <alignment horizontal="left" vertical="center"/>
    </xf>
    <xf numFmtId="9" fontId="10" fillId="0" borderId="5" xfId="1" applyFont="1" applyFill="1" applyBorder="1" applyAlignment="1">
      <alignment horizontal="right" vertical="center"/>
    </xf>
    <xf numFmtId="9" fontId="10" fillId="0" borderId="4" xfId="1" applyFont="1" applyFill="1" applyBorder="1" applyAlignment="1">
      <alignment horizontal="right" vertical="center"/>
    </xf>
    <xf numFmtId="9" fontId="10" fillId="0" borderId="6" xfId="1" applyFont="1" applyFill="1" applyBorder="1" applyAlignment="1">
      <alignment horizontal="right" vertical="center"/>
    </xf>
    <xf numFmtId="167" fontId="11" fillId="0" borderId="6" xfId="5" applyNumberFormat="1" applyFont="1" applyFill="1" applyBorder="1" applyAlignment="1">
      <alignment horizontal="left" vertical="center"/>
    </xf>
    <xf numFmtId="3" fontId="10" fillId="0" borderId="4" xfId="5" applyNumberFormat="1" applyFont="1" applyFill="1" applyBorder="1" applyAlignment="1">
      <alignment horizontal="right" vertical="center"/>
    </xf>
    <xf numFmtId="167" fontId="10" fillId="0" borderId="5" xfId="5" applyNumberFormat="1" applyFont="1" applyFill="1" applyBorder="1" applyAlignment="1">
      <alignment horizontal="right" vertical="center"/>
    </xf>
    <xf numFmtId="167" fontId="10" fillId="0" borderId="6" xfId="5" applyNumberFormat="1" applyFont="1" applyFill="1" applyBorder="1" applyAlignment="1">
      <alignment horizontal="right" vertical="center"/>
    </xf>
    <xf numFmtId="167" fontId="10" fillId="0" borderId="0" xfId="5" applyNumberFormat="1" applyFont="1" applyFill="1" applyBorder="1" applyAlignment="1">
      <alignment horizontal="right" vertical="center"/>
    </xf>
    <xf numFmtId="164" fontId="10" fillId="0" borderId="5" xfId="3" applyFont="1" applyFill="1" applyBorder="1" applyAlignment="1">
      <alignment horizontal="right" vertical="center"/>
    </xf>
    <xf numFmtId="0" fontId="12" fillId="0" borderId="0" xfId="0" applyFont="1" applyAlignment="1">
      <alignment horizontal="left" vertical="center"/>
    </xf>
    <xf numFmtId="0" fontId="9" fillId="0" borderId="3" xfId="0" applyFont="1" applyBorder="1" applyAlignment="1">
      <alignment horizontal="right" vertical="center" wrapText="1"/>
    </xf>
    <xf numFmtId="167" fontId="7" fillId="0" borderId="4" xfId="5" applyNumberFormat="1" applyFont="1" applyFill="1" applyBorder="1" applyAlignment="1">
      <alignment horizontal="right" vertical="center"/>
    </xf>
    <xf numFmtId="167" fontId="7" fillId="0" borderId="0" xfId="5" applyNumberFormat="1" applyFont="1" applyFill="1" applyBorder="1" applyAlignment="1">
      <alignment horizontal="left" vertical="center"/>
    </xf>
    <xf numFmtId="167" fontId="10" fillId="2" borderId="5" xfId="5" applyNumberFormat="1" applyFont="1" applyFill="1" applyBorder="1" applyAlignment="1">
      <alignment horizontal="right" vertical="center"/>
    </xf>
    <xf numFmtId="166" fontId="10" fillId="0" borderId="4" xfId="5" applyNumberFormat="1" applyFont="1" applyFill="1" applyBorder="1" applyAlignment="1">
      <alignment horizontal="right" vertical="center"/>
    </xf>
    <xf numFmtId="0" fontId="9" fillId="0" borderId="6" xfId="0" applyFont="1" applyBorder="1" applyAlignment="1">
      <alignment horizontal="right" vertical="center"/>
    </xf>
    <xf numFmtId="0" fontId="13" fillId="0" borderId="4" xfId="0" applyFont="1" applyBorder="1" applyAlignment="1">
      <alignment horizontal="left" vertical="center" wrapText="1"/>
    </xf>
    <xf numFmtId="164" fontId="10" fillId="0" borderId="0" xfId="3" applyFont="1" applyFill="1" applyBorder="1" applyAlignment="1">
      <alignment horizontal="right" vertical="center"/>
    </xf>
    <xf numFmtId="164" fontId="10" fillId="0" borderId="6" xfId="3" applyFont="1" applyFill="1" applyBorder="1" applyAlignment="1">
      <alignment horizontal="right" vertical="center"/>
    </xf>
    <xf numFmtId="43" fontId="10" fillId="0" borderId="4" xfId="5" applyFont="1" applyFill="1" applyBorder="1" applyAlignment="1">
      <alignment horizontal="right" vertical="center"/>
    </xf>
    <xf numFmtId="43" fontId="10" fillId="0" borderId="6" xfId="5" applyFont="1" applyFill="1" applyBorder="1" applyAlignment="1">
      <alignment horizontal="right" vertical="center"/>
    </xf>
    <xf numFmtId="43" fontId="10" fillId="0" borderId="5" xfId="5" applyFont="1" applyFill="1" applyBorder="1" applyAlignment="1">
      <alignment horizontal="right" vertical="center"/>
    </xf>
    <xf numFmtId="43" fontId="10" fillId="2" borderId="5" xfId="5" applyFont="1" applyFill="1" applyBorder="1" applyAlignment="1">
      <alignment horizontal="right" vertical="center"/>
    </xf>
    <xf numFmtId="169" fontId="5" fillId="0" borderId="0" xfId="0" applyNumberFormat="1" applyFont="1" applyAlignment="1">
      <alignment horizontal="left" vertical="center"/>
    </xf>
    <xf numFmtId="3" fontId="10" fillId="2" borderId="5" xfId="1" applyNumberFormat="1" applyFont="1" applyFill="1" applyBorder="1" applyAlignment="1">
      <alignment horizontal="right" vertical="center"/>
    </xf>
    <xf numFmtId="0" fontId="14" fillId="0" borderId="5" xfId="0" applyFont="1" applyBorder="1" applyAlignment="1">
      <alignment horizontal="left" vertical="center"/>
    </xf>
    <xf numFmtId="0" fontId="13" fillId="0" borderId="0" xfId="0" applyFont="1" applyAlignment="1">
      <alignment horizontal="left" vertical="center"/>
    </xf>
    <xf numFmtId="0" fontId="9" fillId="3" borderId="3" xfId="0" applyFont="1" applyFill="1" applyBorder="1" applyAlignment="1">
      <alignment horizontal="right" vertical="center"/>
    </xf>
    <xf numFmtId="164" fontId="10" fillId="3" borderId="0" xfId="3" applyFont="1" applyFill="1" applyBorder="1" applyAlignment="1">
      <alignment horizontal="right" vertical="center"/>
    </xf>
    <xf numFmtId="164" fontId="10" fillId="3" borderId="5" xfId="3" applyFont="1" applyFill="1" applyBorder="1" applyAlignment="1">
      <alignment horizontal="right" vertical="center"/>
    </xf>
    <xf numFmtId="164" fontId="10" fillId="3" borderId="6" xfId="3" applyFont="1" applyFill="1" applyBorder="1" applyAlignment="1">
      <alignment horizontal="right" vertical="center"/>
    </xf>
    <xf numFmtId="167" fontId="10" fillId="3" borderId="5" xfId="5" applyNumberFormat="1" applyFont="1" applyFill="1" applyBorder="1" applyAlignment="1">
      <alignment horizontal="right" vertical="center"/>
    </xf>
    <xf numFmtId="166" fontId="10" fillId="3" borderId="4" xfId="5" applyNumberFormat="1" applyFont="1" applyFill="1" applyBorder="1" applyAlignment="1">
      <alignment horizontal="right" vertical="center"/>
    </xf>
    <xf numFmtId="0" fontId="9" fillId="3" borderId="0" xfId="0" applyFont="1" applyFill="1" applyAlignment="1">
      <alignment horizontal="right" vertical="center" wrapText="1"/>
    </xf>
    <xf numFmtId="167" fontId="10" fillId="3" borderId="4" xfId="5" applyNumberFormat="1" applyFont="1" applyFill="1" applyBorder="1" applyAlignment="1">
      <alignment horizontal="right" vertical="center"/>
    </xf>
    <xf numFmtId="167" fontId="10" fillId="3" borderId="6" xfId="5" applyNumberFormat="1" applyFont="1" applyFill="1" applyBorder="1" applyAlignment="1">
      <alignment horizontal="right" vertical="center"/>
    </xf>
    <xf numFmtId="0" fontId="9" fillId="3" borderId="3" xfId="0" applyFont="1" applyFill="1" applyBorder="1" applyAlignment="1">
      <alignment horizontal="right" vertical="center" wrapText="1"/>
    </xf>
    <xf numFmtId="43" fontId="10" fillId="3" borderId="4" xfId="5" applyFont="1" applyFill="1" applyBorder="1" applyAlignment="1">
      <alignment horizontal="right" vertical="center"/>
    </xf>
    <xf numFmtId="43" fontId="10" fillId="3" borderId="6" xfId="5" applyFont="1" applyFill="1" applyBorder="1" applyAlignment="1">
      <alignment horizontal="right" vertical="center"/>
    </xf>
    <xf numFmtId="43" fontId="10" fillId="3" borderId="5" xfId="5" applyFont="1" applyFill="1" applyBorder="1" applyAlignment="1">
      <alignment horizontal="right" vertical="center"/>
    </xf>
    <xf numFmtId="167" fontId="10" fillId="3" borderId="0" xfId="5" applyNumberFormat="1" applyFont="1" applyFill="1" applyBorder="1" applyAlignment="1">
      <alignment horizontal="right" vertical="center"/>
    </xf>
    <xf numFmtId="164" fontId="10" fillId="3" borderId="0" xfId="3" applyFont="1" applyFill="1" applyBorder="1" applyAlignment="1">
      <alignment horizontal="left" vertical="center"/>
    </xf>
    <xf numFmtId="164" fontId="10" fillId="3" borderId="5" xfId="3" applyFont="1" applyFill="1" applyBorder="1" applyAlignment="1">
      <alignment horizontal="left" vertical="center"/>
    </xf>
    <xf numFmtId="167" fontId="10" fillId="3" borderId="4" xfId="5" applyNumberFormat="1" applyFont="1" applyFill="1" applyBorder="1" applyAlignment="1">
      <alignment horizontal="left" vertical="center"/>
    </xf>
    <xf numFmtId="167" fontId="10" fillId="3" borderId="0" xfId="5" applyNumberFormat="1" applyFont="1" applyFill="1" applyBorder="1" applyAlignment="1">
      <alignment horizontal="left" vertical="center"/>
    </xf>
    <xf numFmtId="167" fontId="10" fillId="3" borderId="6" xfId="5" applyNumberFormat="1" applyFont="1" applyFill="1" applyBorder="1" applyAlignment="1">
      <alignment horizontal="left" vertical="center"/>
    </xf>
    <xf numFmtId="167" fontId="10" fillId="3" borderId="5" xfId="5" applyNumberFormat="1" applyFont="1" applyFill="1" applyBorder="1" applyAlignment="1">
      <alignment horizontal="left" vertical="center"/>
    </xf>
    <xf numFmtId="9" fontId="10" fillId="3" borderId="4" xfId="1" applyFont="1" applyFill="1" applyBorder="1" applyAlignment="1">
      <alignment horizontal="right" vertical="center"/>
    </xf>
    <xf numFmtId="9" fontId="10" fillId="3" borderId="6" xfId="1" applyFont="1" applyFill="1" applyBorder="1" applyAlignment="1">
      <alignment horizontal="right" vertical="center"/>
    </xf>
    <xf numFmtId="166" fontId="10" fillId="3" borderId="4" xfId="5" applyNumberFormat="1" applyFont="1" applyFill="1" applyBorder="1" applyAlignment="1">
      <alignment horizontal="left" vertical="center"/>
    </xf>
    <xf numFmtId="167" fontId="11" fillId="3" borderId="6" xfId="5" applyNumberFormat="1" applyFont="1" applyFill="1" applyBorder="1" applyAlignment="1">
      <alignment horizontal="left" vertical="center"/>
    </xf>
    <xf numFmtId="3" fontId="10" fillId="3" borderId="4" xfId="5" applyNumberFormat="1" applyFont="1" applyFill="1" applyBorder="1" applyAlignment="1">
      <alignment horizontal="right" vertical="center"/>
    </xf>
    <xf numFmtId="3" fontId="10" fillId="3" borderId="0" xfId="5" applyNumberFormat="1" applyFont="1" applyFill="1" applyBorder="1" applyAlignment="1">
      <alignment horizontal="right" vertical="center"/>
    </xf>
    <xf numFmtId="0" fontId="9" fillId="3" borderId="0" xfId="0" applyFont="1" applyFill="1" applyAlignment="1">
      <alignment horizontal="right" vertical="center"/>
    </xf>
    <xf numFmtId="9" fontId="10" fillId="3" borderId="5" xfId="1" applyFont="1" applyFill="1" applyBorder="1" applyAlignment="1">
      <alignment horizontal="right" vertical="center"/>
    </xf>
    <xf numFmtId="3" fontId="10" fillId="3" borderId="4" xfId="1" applyNumberFormat="1" applyFont="1" applyFill="1" applyBorder="1" applyAlignment="1">
      <alignment horizontal="right" vertical="center"/>
    </xf>
    <xf numFmtId="3" fontId="10" fillId="3" borderId="6" xfId="1" applyNumberFormat="1" applyFont="1" applyFill="1" applyBorder="1" applyAlignment="1">
      <alignment horizontal="right" vertical="center"/>
    </xf>
    <xf numFmtId="3" fontId="10" fillId="3" borderId="5" xfId="1" applyNumberFormat="1" applyFont="1" applyFill="1" applyBorder="1" applyAlignment="1">
      <alignment horizontal="right" vertical="center"/>
    </xf>
    <xf numFmtId="168" fontId="10" fillId="3" borderId="4" xfId="5" applyNumberFormat="1" applyFont="1" applyFill="1" applyBorder="1" applyAlignment="1">
      <alignment horizontal="right" vertical="center"/>
    </xf>
    <xf numFmtId="4" fontId="10" fillId="3" borderId="4" xfId="5" applyNumberFormat="1" applyFont="1" applyFill="1" applyBorder="1" applyAlignment="1">
      <alignment horizontal="right" vertical="center"/>
    </xf>
    <xf numFmtId="167" fontId="10" fillId="3" borderId="4" xfId="5" quotePrefix="1" applyNumberFormat="1" applyFont="1" applyFill="1" applyBorder="1" applyAlignment="1">
      <alignment horizontal="right" vertical="center"/>
    </xf>
    <xf numFmtId="0" fontId="17" fillId="0" borderId="0" xfId="0" applyFont="1" applyAlignment="1">
      <alignment horizontal="left" vertical="center"/>
    </xf>
    <xf numFmtId="167" fontId="16" fillId="0" borderId="4" xfId="5" quotePrefix="1" applyNumberFormat="1" applyFont="1" applyFill="1" applyBorder="1" applyAlignment="1">
      <alignment horizontal="right" vertical="center"/>
    </xf>
    <xf numFmtId="164" fontId="10" fillId="3" borderId="5" xfId="3" quotePrefix="1" applyFont="1" applyFill="1" applyBorder="1" applyAlignment="1">
      <alignment horizontal="right" vertical="center"/>
    </xf>
    <xf numFmtId="0" fontId="10" fillId="0" borderId="5" xfId="0" quotePrefix="1" applyFont="1" applyBorder="1" applyAlignment="1">
      <alignment horizontal="right" vertical="center"/>
    </xf>
    <xf numFmtId="164" fontId="10" fillId="0" borderId="5" xfId="3" quotePrefix="1" applyFont="1" applyFill="1" applyBorder="1" applyAlignment="1">
      <alignment horizontal="right" vertical="center"/>
    </xf>
    <xf numFmtId="167" fontId="10" fillId="3" borderId="6" xfId="5" quotePrefix="1" applyNumberFormat="1" applyFont="1" applyFill="1" applyBorder="1" applyAlignment="1">
      <alignment horizontal="right" vertical="center"/>
    </xf>
    <xf numFmtId="167" fontId="10" fillId="0" borderId="6" xfId="5" quotePrefix="1" applyNumberFormat="1" applyFont="1" applyFill="1" applyBorder="1" applyAlignment="1">
      <alignment horizontal="right" vertical="center"/>
    </xf>
    <xf numFmtId="167" fontId="10" fillId="0" borderId="6" xfId="5" quotePrefix="1" applyNumberFormat="1" applyFont="1" applyBorder="1" applyAlignment="1">
      <alignment horizontal="right" vertical="center"/>
    </xf>
    <xf numFmtId="167" fontId="10" fillId="3" borderId="0" xfId="5" quotePrefix="1" applyNumberFormat="1" applyFont="1" applyFill="1" applyBorder="1" applyAlignment="1">
      <alignment horizontal="right" vertical="center"/>
    </xf>
    <xf numFmtId="9" fontId="10" fillId="3" borderId="4" xfId="5" quotePrefix="1" applyNumberFormat="1" applyFont="1" applyFill="1" applyBorder="1" applyAlignment="1">
      <alignment horizontal="right" vertical="center"/>
    </xf>
    <xf numFmtId="9" fontId="10" fillId="3" borderId="0" xfId="5" quotePrefix="1" applyNumberFormat="1" applyFont="1" applyFill="1" applyBorder="1" applyAlignment="1">
      <alignment horizontal="right" vertical="center"/>
    </xf>
    <xf numFmtId="3" fontId="10" fillId="3" borderId="4" xfId="5" quotePrefix="1" applyNumberFormat="1" applyFont="1" applyFill="1" applyBorder="1" applyAlignment="1">
      <alignment horizontal="right" vertical="center"/>
    </xf>
    <xf numFmtId="3" fontId="10" fillId="0" borderId="4" xfId="5" quotePrefix="1" applyNumberFormat="1" applyFont="1" applyFill="1" applyBorder="1" applyAlignment="1">
      <alignment horizontal="right" vertical="center"/>
    </xf>
    <xf numFmtId="9" fontId="10" fillId="3" borderId="0" xfId="1" applyFont="1" applyFill="1" applyBorder="1" applyAlignment="1">
      <alignment horizontal="right" vertical="center"/>
    </xf>
    <xf numFmtId="9" fontId="10" fillId="0" borderId="0" xfId="1" applyFont="1" applyFill="1" applyBorder="1" applyAlignment="1">
      <alignment horizontal="right" vertical="center"/>
    </xf>
    <xf numFmtId="167" fontId="10" fillId="2" borderId="0" xfId="5" applyNumberFormat="1" applyFont="1" applyFill="1" applyBorder="1" applyAlignment="1">
      <alignment horizontal="left" vertical="center"/>
    </xf>
    <xf numFmtId="0" fontId="9" fillId="2" borderId="3" xfId="0" applyFont="1" applyFill="1" applyBorder="1" applyAlignment="1">
      <alignment horizontal="right" vertical="center"/>
    </xf>
    <xf numFmtId="164" fontId="10" fillId="2" borderId="0" xfId="3" applyFont="1" applyFill="1" applyBorder="1" applyAlignment="1">
      <alignment horizontal="left" vertical="center"/>
    </xf>
    <xf numFmtId="167" fontId="10" fillId="2" borderId="5" xfId="5" applyNumberFormat="1" applyFont="1" applyFill="1" applyBorder="1" applyAlignment="1">
      <alignment horizontal="left" vertical="center"/>
    </xf>
    <xf numFmtId="9" fontId="10" fillId="3" borderId="5" xfId="5" applyNumberFormat="1" applyFont="1" applyFill="1" applyBorder="1" applyAlignment="1">
      <alignment horizontal="right" vertical="center"/>
    </xf>
    <xf numFmtId="9" fontId="10" fillId="0" borderId="4" xfId="5" applyNumberFormat="1" applyFont="1" applyFill="1" applyBorder="1" applyAlignment="1">
      <alignment horizontal="right" vertical="center"/>
    </xf>
    <xf numFmtId="9" fontId="10" fillId="3" borderId="4" xfId="5" applyNumberFormat="1" applyFont="1" applyFill="1" applyBorder="1" applyAlignment="1">
      <alignment horizontal="right" vertical="center"/>
    </xf>
    <xf numFmtId="9" fontId="10" fillId="2" borderId="4" xfId="5" applyNumberFormat="1" applyFont="1" applyFill="1" applyBorder="1" applyAlignment="1">
      <alignment horizontal="right" vertical="center"/>
    </xf>
    <xf numFmtId="0" fontId="10" fillId="0" borderId="4" xfId="0" applyFont="1" applyBorder="1" applyAlignment="1">
      <alignment horizontal="left" vertical="center"/>
    </xf>
    <xf numFmtId="167" fontId="10" fillId="2" borderId="4" xfId="5" applyNumberFormat="1" applyFont="1" applyFill="1" applyBorder="1" applyAlignment="1">
      <alignment horizontal="left" vertical="center"/>
    </xf>
    <xf numFmtId="167" fontId="11" fillId="2" borderId="6" xfId="5" applyNumberFormat="1" applyFont="1" applyFill="1" applyBorder="1" applyAlignment="1">
      <alignment horizontal="left" vertical="center"/>
    </xf>
    <xf numFmtId="0" fontId="18" fillId="0" borderId="0" xfId="0" applyFont="1" applyAlignment="1">
      <alignment horizontal="left" vertical="center"/>
    </xf>
    <xf numFmtId="167" fontId="10" fillId="2" borderId="6" xfId="5" applyNumberFormat="1" applyFont="1" applyFill="1" applyBorder="1" applyAlignment="1">
      <alignment horizontal="right" vertical="center"/>
    </xf>
    <xf numFmtId="9" fontId="10" fillId="2" borderId="4" xfId="1" applyFont="1" applyFill="1" applyBorder="1" applyAlignment="1">
      <alignment horizontal="right" vertical="center"/>
    </xf>
    <xf numFmtId="0" fontId="10" fillId="0" borderId="5" xfId="0" applyFont="1" applyBorder="1" applyAlignment="1">
      <alignment horizontal="left" vertical="center"/>
    </xf>
    <xf numFmtId="0" fontId="9" fillId="0" borderId="5" xfId="0" applyFont="1" applyBorder="1" applyAlignment="1">
      <alignment horizontal="lef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3" borderId="5" xfId="0" applyFont="1" applyFill="1" applyBorder="1" applyAlignment="1">
      <alignment horizontal="left" vertical="center"/>
    </xf>
    <xf numFmtId="0" fontId="9" fillId="3" borderId="5" xfId="0" applyFont="1" applyFill="1" applyBorder="1" applyAlignment="1">
      <alignment horizontal="left" vertical="center"/>
    </xf>
    <xf numFmtId="0" fontId="19" fillId="0" borderId="5" xfId="0" applyFont="1" applyBorder="1" applyAlignment="1">
      <alignment horizontal="left" vertical="center"/>
    </xf>
    <xf numFmtId="0" fontId="10" fillId="0" borderId="6" xfId="0" applyFont="1" applyBorder="1" applyAlignment="1">
      <alignment horizontal="left" vertical="center"/>
    </xf>
    <xf numFmtId="0" fontId="9" fillId="0" borderId="6" xfId="0" applyFont="1" applyBorder="1" applyAlignment="1">
      <alignment horizontal="left" vertical="center"/>
    </xf>
    <xf numFmtId="0" fontId="10" fillId="0" borderId="6" xfId="0" applyFont="1" applyBorder="1" applyAlignment="1">
      <alignment horizontal="left" vertical="center" wrapText="1"/>
    </xf>
    <xf numFmtId="167" fontId="10" fillId="0" borderId="5" xfId="5" applyNumberFormat="1" applyFont="1" applyBorder="1" applyAlignment="1">
      <alignment horizontal="right" vertical="center"/>
    </xf>
    <xf numFmtId="0" fontId="10" fillId="3" borderId="4" xfId="0" applyFont="1" applyFill="1" applyBorder="1" applyAlignment="1">
      <alignment horizontal="left" vertical="center"/>
    </xf>
    <xf numFmtId="166" fontId="10" fillId="0" borderId="4" xfId="5" applyNumberFormat="1" applyFont="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3" xfId="0" applyFont="1" applyBorder="1" applyAlignment="1">
      <alignment horizontal="left" vertical="center"/>
    </xf>
    <xf numFmtId="167" fontId="10" fillId="0" borderId="4" xfId="5" quotePrefix="1" applyNumberFormat="1" applyFont="1" applyFill="1" applyBorder="1" applyAlignment="1">
      <alignment horizontal="right" vertical="center"/>
    </xf>
    <xf numFmtId="0" fontId="11" fillId="0" borderId="4" xfId="0" applyFont="1" applyBorder="1" applyAlignment="1">
      <alignment horizontal="left" vertical="center"/>
    </xf>
    <xf numFmtId="0" fontId="11" fillId="3" borderId="4" xfId="0" applyFont="1" applyFill="1" applyBorder="1" applyAlignment="1">
      <alignment horizontal="left" vertical="center"/>
    </xf>
    <xf numFmtId="167" fontId="11" fillId="3" borderId="4" xfId="5" applyNumberFormat="1" applyFont="1" applyFill="1" applyBorder="1" applyAlignment="1">
      <alignment horizontal="right" vertical="center"/>
    </xf>
    <xf numFmtId="167" fontId="11" fillId="3" borderId="4" xfId="5" quotePrefix="1" applyNumberFormat="1" applyFont="1" applyFill="1" applyBorder="1" applyAlignment="1">
      <alignment horizontal="right" vertical="center"/>
    </xf>
    <xf numFmtId="3" fontId="10" fillId="0" borderId="4" xfId="1" applyNumberFormat="1" applyFont="1" applyFill="1" applyBorder="1" applyAlignment="1">
      <alignment horizontal="right" vertical="center"/>
    </xf>
    <xf numFmtId="3" fontId="10" fillId="0" borderId="6" xfId="1" applyNumberFormat="1" applyFont="1" applyFill="1" applyBorder="1" applyAlignment="1">
      <alignment horizontal="right" vertical="center"/>
    </xf>
    <xf numFmtId="167" fontId="10" fillId="3" borderId="7" xfId="5" applyNumberFormat="1" applyFont="1" applyFill="1" applyBorder="1" applyAlignment="1">
      <alignment horizontal="right" vertical="center"/>
    </xf>
    <xf numFmtId="167" fontId="10" fillId="0" borderId="7" xfId="5" applyNumberFormat="1" applyFont="1" applyFill="1" applyBorder="1" applyAlignment="1">
      <alignment horizontal="right" vertical="center"/>
    </xf>
    <xf numFmtId="9" fontId="10" fillId="0" borderId="5" xfId="1" applyFont="1" applyBorder="1" applyAlignment="1">
      <alignment horizontal="right" vertical="center"/>
    </xf>
    <xf numFmtId="2" fontId="10" fillId="3" borderId="4" xfId="5" applyNumberFormat="1" applyFont="1" applyFill="1" applyBorder="1" applyAlignment="1">
      <alignment horizontal="right" vertical="center"/>
    </xf>
    <xf numFmtId="2" fontId="10" fillId="0" borderId="4" xfId="5" applyNumberFormat="1" applyFont="1" applyFill="1" applyBorder="1" applyAlignment="1">
      <alignment horizontal="right" vertical="center"/>
    </xf>
    <xf numFmtId="2" fontId="10" fillId="0" borderId="4" xfId="5" applyNumberFormat="1" applyFont="1" applyBorder="1" applyAlignment="1">
      <alignment horizontal="right" vertical="center"/>
    </xf>
    <xf numFmtId="167" fontId="10" fillId="0" borderId="4" xfId="5" applyNumberFormat="1" applyFont="1" applyBorder="1" applyAlignment="1">
      <alignment horizontal="left" vertical="center"/>
    </xf>
    <xf numFmtId="167" fontId="10" fillId="0" borderId="0" xfId="5" applyNumberFormat="1" applyFont="1" applyBorder="1" applyAlignment="1">
      <alignment horizontal="left" vertical="center"/>
    </xf>
    <xf numFmtId="0" fontId="9" fillId="0" borderId="5" xfId="0" applyFont="1" applyBorder="1" applyAlignment="1">
      <alignment horizontal="left" vertical="center" wrapText="1"/>
    </xf>
    <xf numFmtId="167" fontId="10" fillId="0" borderId="5" xfId="5" applyNumberFormat="1" applyFont="1" applyBorder="1" applyAlignment="1">
      <alignment horizontal="left" vertical="center"/>
    </xf>
    <xf numFmtId="9" fontId="10" fillId="2" borderId="5" xfId="1" applyFont="1" applyFill="1" applyBorder="1" applyAlignment="1">
      <alignment horizontal="right" vertical="center"/>
    </xf>
    <xf numFmtId="0" fontId="11" fillId="0" borderId="6" xfId="0" applyFont="1" applyBorder="1" applyAlignment="1">
      <alignment horizontal="left" vertical="center"/>
    </xf>
    <xf numFmtId="0" fontId="9" fillId="0" borderId="3" xfId="0" applyFont="1" applyBorder="1" applyAlignment="1">
      <alignment horizontal="left" vertical="center" wrapText="1"/>
    </xf>
    <xf numFmtId="0" fontId="9" fillId="2" borderId="3" xfId="0" applyFont="1" applyFill="1" applyBorder="1" applyAlignment="1">
      <alignment horizontal="right" vertical="center" wrapText="1"/>
    </xf>
    <xf numFmtId="0" fontId="9" fillId="2" borderId="0" xfId="0" applyFont="1" applyFill="1" applyAlignment="1">
      <alignment horizontal="right" vertical="center" wrapText="1"/>
    </xf>
    <xf numFmtId="0" fontId="9" fillId="0" borderId="4" xfId="0" applyFont="1" applyBorder="1" applyAlignment="1">
      <alignment horizontal="left" vertical="center"/>
    </xf>
    <xf numFmtId="3" fontId="10" fillId="0" borderId="0" xfId="5" applyNumberFormat="1" applyFont="1" applyFill="1" applyBorder="1" applyAlignment="1">
      <alignment horizontal="right" vertical="center"/>
    </xf>
    <xf numFmtId="4" fontId="10" fillId="3" borderId="4" xfId="5" quotePrefix="1" applyNumberFormat="1" applyFont="1" applyFill="1" applyBorder="1" applyAlignment="1">
      <alignment horizontal="right" vertical="center"/>
    </xf>
    <xf numFmtId="0" fontId="10" fillId="0" borderId="3" xfId="0" applyFont="1" applyBorder="1" applyAlignment="1">
      <alignment horizontal="left" vertical="center" wrapText="1"/>
    </xf>
    <xf numFmtId="167" fontId="10" fillId="3" borderId="5" xfId="5" quotePrefix="1" applyNumberFormat="1" applyFont="1" applyFill="1" applyBorder="1" applyAlignment="1">
      <alignment horizontal="right" vertical="center"/>
    </xf>
    <xf numFmtId="167" fontId="10" fillId="2" borderId="6" xfId="5" applyNumberFormat="1" applyFont="1" applyFill="1" applyBorder="1" applyAlignment="1">
      <alignment horizontal="left" vertical="center"/>
    </xf>
    <xf numFmtId="164" fontId="10" fillId="2" borderId="5" xfId="3" applyFont="1" applyFill="1" applyBorder="1" applyAlignment="1">
      <alignment horizontal="left" vertical="center"/>
    </xf>
    <xf numFmtId="3" fontId="10" fillId="2" borderId="4" xfId="1" applyNumberFormat="1" applyFont="1" applyFill="1" applyBorder="1" applyAlignment="1">
      <alignment horizontal="right" vertical="center"/>
    </xf>
    <xf numFmtId="3" fontId="10" fillId="2" borderId="6" xfId="1" applyNumberFormat="1" applyFont="1" applyFill="1" applyBorder="1" applyAlignment="1">
      <alignment horizontal="right" vertical="center"/>
    </xf>
    <xf numFmtId="9" fontId="10" fillId="2" borderId="0" xfId="1" applyFont="1" applyFill="1" applyBorder="1" applyAlignment="1">
      <alignment horizontal="right" vertical="center"/>
    </xf>
    <xf numFmtId="0" fontId="9" fillId="2" borderId="0" xfId="0" applyFont="1" applyFill="1" applyAlignment="1">
      <alignment horizontal="right" vertical="center"/>
    </xf>
    <xf numFmtId="9" fontId="10" fillId="2" borderId="5" xfId="5" applyNumberFormat="1" applyFont="1" applyFill="1" applyBorder="1" applyAlignment="1">
      <alignment horizontal="right" vertical="center"/>
    </xf>
    <xf numFmtId="167" fontId="10" fillId="2" borderId="0" xfId="5" applyNumberFormat="1" applyFont="1" applyFill="1" applyBorder="1" applyAlignment="1">
      <alignment horizontal="right" vertical="center"/>
    </xf>
    <xf numFmtId="9" fontId="10" fillId="2" borderId="6" xfId="1" applyFont="1" applyFill="1" applyBorder="1" applyAlignment="1">
      <alignment horizontal="right" vertical="center"/>
    </xf>
    <xf numFmtId="166" fontId="10" fillId="2" borderId="4" xfId="5" applyNumberFormat="1" applyFont="1" applyFill="1" applyBorder="1" applyAlignment="1">
      <alignment horizontal="left" vertical="center"/>
    </xf>
    <xf numFmtId="167" fontId="10" fillId="2" borderId="4" xfId="5" quotePrefix="1" applyNumberFormat="1" applyFont="1" applyFill="1" applyBorder="1" applyAlignment="1">
      <alignment horizontal="right" vertical="center"/>
    </xf>
    <xf numFmtId="167" fontId="10" fillId="2" borderId="0" xfId="5" quotePrefix="1" applyNumberFormat="1" applyFont="1" applyFill="1" applyBorder="1" applyAlignment="1">
      <alignment horizontal="right" vertical="center"/>
    </xf>
    <xf numFmtId="9" fontId="10" fillId="2" borderId="4" xfId="5" quotePrefix="1" applyNumberFormat="1" applyFont="1" applyFill="1" applyBorder="1" applyAlignment="1">
      <alignment horizontal="right" vertical="center"/>
    </xf>
    <xf numFmtId="9" fontId="10" fillId="2" borderId="0" xfId="5" quotePrefix="1" applyNumberFormat="1" applyFont="1" applyFill="1" applyBorder="1" applyAlignment="1">
      <alignment horizontal="right" vertical="center"/>
    </xf>
    <xf numFmtId="3" fontId="10" fillId="2" borderId="4" xfId="5" applyNumberFormat="1" applyFont="1" applyFill="1" applyBorder="1" applyAlignment="1">
      <alignment horizontal="right" vertical="center"/>
    </xf>
    <xf numFmtId="3" fontId="10" fillId="2" borderId="0" xfId="5" applyNumberFormat="1" applyFont="1" applyFill="1" applyBorder="1" applyAlignment="1">
      <alignment horizontal="right" vertical="center"/>
    </xf>
    <xf numFmtId="168" fontId="10" fillId="2" borderId="4" xfId="5" applyNumberFormat="1" applyFont="1" applyFill="1" applyBorder="1" applyAlignment="1">
      <alignment horizontal="right" vertical="center"/>
    </xf>
    <xf numFmtId="4" fontId="10" fillId="2" borderId="4" xfId="5" applyNumberFormat="1" applyFont="1" applyFill="1" applyBorder="1" applyAlignment="1">
      <alignment horizontal="right" vertical="center"/>
    </xf>
    <xf numFmtId="164" fontId="10" fillId="2" borderId="0" xfId="3" applyFont="1" applyFill="1" applyBorder="1" applyAlignment="1">
      <alignment horizontal="right" vertical="center"/>
    </xf>
    <xf numFmtId="164" fontId="10" fillId="2" borderId="5" xfId="3" applyFont="1" applyFill="1" applyBorder="1" applyAlignment="1">
      <alignment horizontal="right" vertical="center"/>
    </xf>
    <xf numFmtId="166" fontId="10" fillId="2" borderId="4" xfId="5" applyNumberFormat="1" applyFont="1" applyFill="1" applyBorder="1" applyAlignment="1">
      <alignment horizontal="right" vertical="center"/>
    </xf>
    <xf numFmtId="43" fontId="10" fillId="2" borderId="4" xfId="5" applyFont="1" applyFill="1" applyBorder="1" applyAlignment="1">
      <alignment horizontal="right" vertical="center"/>
    </xf>
    <xf numFmtId="43" fontId="10" fillId="2" borderId="6" xfId="5" applyFont="1" applyFill="1" applyBorder="1" applyAlignment="1">
      <alignment horizontal="right" vertical="center"/>
    </xf>
    <xf numFmtId="167" fontId="11" fillId="2" borderId="4" xfId="5" applyNumberFormat="1" applyFont="1" applyFill="1" applyBorder="1" applyAlignment="1">
      <alignment horizontal="right" vertical="center"/>
    </xf>
    <xf numFmtId="167" fontId="10" fillId="2" borderId="7" xfId="5" applyNumberFormat="1" applyFont="1" applyFill="1" applyBorder="1" applyAlignment="1">
      <alignment horizontal="right" vertical="center"/>
    </xf>
    <xf numFmtId="167" fontId="10" fillId="2" borderId="8" xfId="5" applyNumberFormat="1" applyFont="1" applyFill="1" applyBorder="1" applyAlignment="1">
      <alignment horizontal="right" vertical="center"/>
    </xf>
  </cellXfs>
  <cellStyles count="6">
    <cellStyle name="Comma" xfId="5" builtinId="3"/>
    <cellStyle name="Normal" xfId="0" builtinId="0"/>
    <cellStyle name="Percent" xfId="1" builtinId="5"/>
    <cellStyle name="QR_Rubrik_kantlinje" xfId="4" xr:uid="{C6AC323F-7A05-4576-A9A8-4EC878C8EA9E}"/>
    <cellStyle name="QRep_Header" xfId="2" xr:uid="{E8BC10F7-8D7C-4B0C-88AC-B820E63F7352}"/>
    <cellStyle name="QRep_Number" xfId="3" xr:uid="{CE61D79A-6DDD-44A2-A3B0-CB0AC91315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Q%20reports\2021\Q1\Finance\Quarterly%20Report%20Tables%20Q1%202021%20MASTERFILE%202004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Index"/>
      <sheetName val="IS_isolated_quarters_(I)"/>
      <sheetName val="IS_isolated_quarters_(P)"/>
      <sheetName val="BS_(I)"/>
      <sheetName val="BS_(P)"/>
      <sheetName val="FI_(I)"/>
      <sheetName val="FI_(P)"/>
      <sheetName val="CF_Isolated_quarters_(I)"/>
      <sheetName val="CF_Isolated_quarters_(P)"/>
      <sheetName val="Net_sales_by_Segment_by_Q_(I)"/>
      <sheetName val="Net_sales_by_Segment_by_Q_(P)"/>
      <sheetName val="Sales_growth_adjusted_(I)"/>
      <sheetName val="Sales_growth_adjusted_(P)"/>
      <sheetName val="Net_sales_by_MA_by_quarter_(I)"/>
      <sheetName val="Net_sales_by_MA_by_quarter_(P)"/>
      <sheetName val="Net_sales_by_MA_by_Segment_(I)"/>
      <sheetName val="Net_sales_by_MA_by_Segment_(P)"/>
      <sheetName val="Items_excl_restructuring_(I)"/>
      <sheetName val="Items_excl_restructuring_(P)"/>
      <sheetName val="Gross_inc_and_mar_by_Segm_(I)"/>
      <sheetName val="Gross_inc_and_mar_by_Segm_(P)"/>
      <sheetName val="Op_inc_and_mar_by_segment_(I)"/>
      <sheetName val="Op_inc_and_mar_by_segment_(P)"/>
      <sheetName val="EBITA_(I)"/>
      <sheetName val="EBITA_(P)"/>
      <sheetName val="IS_(I)"/>
      <sheetName val="IS_(P)"/>
      <sheetName val="OCI_(I)"/>
      <sheetName val="OCI_(P)"/>
      <sheetName val="Balance_Sheet_(I)"/>
      <sheetName val="Balance_Sheet_(P)"/>
      <sheetName val="CF_(I)"/>
      <sheetName val="CF_(P)"/>
      <sheetName val="Top_Countries_(P)"/>
      <sheetName val="Top_Countries_(I)"/>
      <sheetName val="Change_in_Equity_(I)"/>
      <sheetName val="Change_in_Equity_(P)"/>
      <sheetName val="Parent_Company_1_(I)"/>
      <sheetName val="Parent_Company_1_(P)"/>
      <sheetName val="Parent_Company_2_(I)"/>
      <sheetName val="Parent_Company_2_(P)"/>
      <sheetName val="IFRS16_(I)"/>
      <sheetName val="IFRS16_(P)"/>
      <sheetName val="IPR_Prov_Invest_(I)"/>
      <sheetName val="IPR_Prov_Invest_(P)"/>
      <sheetName val="Other_Info_(I)"/>
      <sheetName val="Other_Info_(P)"/>
      <sheetName val="Other_Info_b_(I)"/>
      <sheetName val="Other_Info_b_(P)"/>
      <sheetName val="Employees_(I)"/>
      <sheetName val="Employees_(P)"/>
      <sheetName val="Restructuring_(I)"/>
      <sheetName val="Restructuring_(P)"/>
      <sheetName val="Fx_Adj_(P)"/>
      <sheetName val="Fx_Adj_(I)"/>
      <sheetName val="Items_exl_restruc_(I)"/>
      <sheetName val="Items_exl_restruc_(P)"/>
      <sheetName val="Capital_(I)"/>
      <sheetName val="Capital_(P)"/>
      <sheetName val="EBITA_and_EBITA_Margin_(I)"/>
      <sheetName val="EBITA_and_EBITA_Margin_(P)"/>
      <sheetName val="Gross_and_Net_Cash_(I)"/>
      <sheetName val="Gross_and_Net_Cash_(P)"/>
      <sheetName val="Equity_Ratio_(I)"/>
      <sheetName val="Equity_Ratio_(P)"/>
      <sheetName val="EPS_(non_IFRS)_(I)"/>
      <sheetName val="EPS_(non_IFRS)_(P)"/>
      <sheetName val="FCF_(I)"/>
      <sheetName val="FCF_(P)"/>
      <sheetName val="Highlights_(I)"/>
      <sheetName val="Highlights_(P)"/>
      <sheetName val="Highlights_b_(I)"/>
      <sheetName val="Highlights_b_(P)"/>
      <sheetName val="MA_Sales_(I)"/>
      <sheetName val="MA_Sales_(P)"/>
      <sheetName val="MA_Sales_b_(I)"/>
      <sheetName val="MA_Sales_b_(P)"/>
      <sheetName val="Segment_Results_(I)"/>
      <sheetName val="Segment_Results_(P)"/>
      <sheetName val="CF_b_(P)"/>
      <sheetName val="CF_b_(I)"/>
      <sheetName val="Financial_Position_(I)"/>
      <sheetName val="Financial_Position_(P)"/>
      <sheetName val="Diagram_(D)"/>
      <sheetName val="Reference_(I)"/>
      <sheetName val="Input_Sheet_(I)"/>
      <sheetName val="IS_Data_(I)"/>
      <sheetName val="BS_Data_(I)"/>
      <sheetName val="CF_Data_(I)"/>
      <sheetName val="Shares_Data_(I)"/>
      <sheetName val="AnalystFileAdmin"/>
      <sheetName val="Period Admin"/>
      <sheetName val="Q_Admin"/>
      <sheetName val="SysAdmin"/>
      <sheetName val="Tbl_(I)_(M)"/>
      <sheetName val="Tbl_(P)_(M)"/>
      <sheetName val="Tbl_IDXQ_(I)_(M)"/>
      <sheetName val="Tbl_IDXD_(I)_(M)"/>
      <sheetName val="TblErcsn_(P)_(M)"/>
      <sheetName val="TblErcsn_(P)_(M) (2)"/>
      <sheetName val="IFRS_16_Impact_(I)"/>
      <sheetName val="IFRS_16_Impact_(P)"/>
      <sheetName val="TblErcsn_(P)_(M) (3)"/>
      <sheetName val="_com.sap.ip.bi.xl.hidden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theme/theme1.xml><?xml version="1.0" encoding="utf-8"?>
<a:theme xmlns:a="http://schemas.openxmlformats.org/drawingml/2006/main" name="Office Theme">
  <a:themeElements>
    <a:clrScheme name="Ericsson">
      <a:dk1>
        <a:srgbClr val="181818"/>
      </a:dk1>
      <a:lt1>
        <a:srgbClr val="FFFFFF"/>
      </a:lt1>
      <a:dk2>
        <a:srgbClr val="181818"/>
      </a:dk2>
      <a:lt2>
        <a:srgbClr val="E0E0E0"/>
      </a:lt2>
      <a:accent1>
        <a:srgbClr val="0082F0"/>
      </a:accent1>
      <a:accent2>
        <a:srgbClr val="0FC373"/>
      </a:accent2>
      <a:accent3>
        <a:srgbClr val="AF78D2"/>
      </a:accent3>
      <a:accent4>
        <a:srgbClr val="FAD22D"/>
      </a:accent4>
      <a:accent5>
        <a:srgbClr val="FF8C0A"/>
      </a:accent5>
      <a:accent6>
        <a:srgbClr val="FF3232"/>
      </a:accent6>
      <a:hlink>
        <a:srgbClr val="0082F0"/>
      </a:hlink>
      <a:folHlink>
        <a:srgbClr val="0409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0736-BA45-482F-8290-026B2C8B9BFE}">
  <dimension ref="A1:S80"/>
  <sheetViews>
    <sheetView showGridLines="0" zoomScale="140" zoomScaleNormal="160" workbookViewId="0">
      <pane xSplit="7" ySplit="2" topLeftCell="H3" activePane="bottomRight" state="frozen"/>
      <selection pane="topRight" activeCell="H1" sqref="H1"/>
      <selection pane="bottomLeft" activeCell="A3" sqref="A3"/>
      <selection pane="bottomRight" activeCell="H3" sqref="H3"/>
    </sheetView>
  </sheetViews>
  <sheetFormatPr defaultColWidth="8.90625" defaultRowHeight="14" x14ac:dyDescent="0.35"/>
  <cols>
    <col min="1" max="2" width="1.54296875" style="1" customWidth="1"/>
    <col min="3" max="3" width="49.453125" style="1" bestFit="1" customWidth="1"/>
    <col min="4" max="4" width="12" style="1" bestFit="1" customWidth="1"/>
    <col min="5" max="5" width="3" style="1" customWidth="1"/>
    <col min="6" max="6" width="18.54296875" style="1" bestFit="1" customWidth="1"/>
    <col min="7" max="7" width="2.453125" style="1" customWidth="1"/>
    <col min="8" max="8" width="10.54296875" style="180" customWidth="1"/>
    <col min="9" max="17" width="10.54296875" style="5" customWidth="1"/>
    <col min="18" max="16384" width="8.90625" style="1"/>
  </cols>
  <sheetData>
    <row r="1" spans="2:17" ht="26.25" customHeight="1" x14ac:dyDescent="0.35">
      <c r="B1" s="2" t="s">
        <v>0</v>
      </c>
      <c r="C1" s="2"/>
      <c r="D1" s="2"/>
      <c r="E1" s="2"/>
      <c r="F1" s="3"/>
      <c r="G1" s="3"/>
      <c r="H1" s="25"/>
      <c r="I1" s="4"/>
      <c r="J1" s="4"/>
      <c r="K1" s="4"/>
      <c r="L1" s="4"/>
      <c r="M1" s="4"/>
    </row>
    <row r="2" spans="2:17" ht="25.5" customHeight="1" x14ac:dyDescent="0.35">
      <c r="B2" s="6"/>
      <c r="C2" s="6"/>
      <c r="D2" s="7" t="s">
        <v>1</v>
      </c>
      <c r="E2" s="7"/>
      <c r="F2" s="7" t="s">
        <v>2</v>
      </c>
      <c r="G2" s="3"/>
      <c r="H2" s="169">
        <v>2025</v>
      </c>
      <c r="I2" s="8">
        <v>2024</v>
      </c>
      <c r="J2" s="8">
        <v>2023</v>
      </c>
      <c r="K2" s="8">
        <v>2022</v>
      </c>
      <c r="L2" s="8">
        <v>2021</v>
      </c>
      <c r="M2" s="8">
        <v>2020</v>
      </c>
      <c r="N2" s="5">
        <v>2019</v>
      </c>
      <c r="O2" s="5">
        <v>2018</v>
      </c>
      <c r="P2" s="5">
        <v>2017</v>
      </c>
      <c r="Q2" s="5">
        <v>2016</v>
      </c>
    </row>
    <row r="3" spans="2:17" ht="12" customHeight="1" x14ac:dyDescent="0.35">
      <c r="B3" s="9" t="s">
        <v>3</v>
      </c>
      <c r="C3" s="9"/>
      <c r="D3" s="10"/>
      <c r="E3" s="10"/>
      <c r="F3" s="10"/>
      <c r="G3" s="11"/>
      <c r="H3" s="117"/>
      <c r="I3" s="67"/>
      <c r="J3" s="67"/>
      <c r="K3" s="67"/>
      <c r="L3" s="12"/>
      <c r="M3" s="12"/>
      <c r="N3" s="12"/>
      <c r="O3" s="12"/>
      <c r="P3" s="12"/>
      <c r="Q3" s="12"/>
    </row>
    <row r="4" spans="2:17" ht="12" customHeight="1" x14ac:dyDescent="0.35">
      <c r="B4" s="13"/>
      <c r="C4" s="13"/>
      <c r="D4" s="7"/>
      <c r="E4" s="7"/>
      <c r="F4" s="7"/>
      <c r="G4" s="3"/>
      <c r="H4" s="193"/>
      <c r="I4" s="68"/>
      <c r="J4" s="68"/>
      <c r="K4" s="68"/>
      <c r="L4" s="57"/>
      <c r="M4" s="57"/>
    </row>
    <row r="5" spans="2:17" ht="12" customHeight="1" x14ac:dyDescent="0.35">
      <c r="B5" s="14" t="s">
        <v>4</v>
      </c>
      <c r="C5" s="14"/>
      <c r="D5" s="15"/>
      <c r="E5" s="15"/>
      <c r="F5" s="15"/>
      <c r="G5" s="16"/>
      <c r="H5" s="194"/>
      <c r="I5" s="69"/>
      <c r="J5" s="69"/>
      <c r="K5" s="69"/>
      <c r="L5" s="48"/>
      <c r="M5" s="48"/>
      <c r="N5" s="17"/>
      <c r="O5" s="17"/>
      <c r="P5" s="17"/>
      <c r="Q5" s="17"/>
    </row>
    <row r="6" spans="2:17" ht="12" customHeight="1" x14ac:dyDescent="0.35">
      <c r="B6" s="65" t="s">
        <v>5</v>
      </c>
      <c r="C6" s="14"/>
      <c r="D6" s="56"/>
      <c r="E6" s="56"/>
      <c r="F6" s="56"/>
      <c r="G6" s="16"/>
      <c r="H6" s="194"/>
      <c r="I6" s="69"/>
      <c r="J6" s="69"/>
      <c r="K6" s="69"/>
      <c r="L6" s="48"/>
      <c r="M6" s="48"/>
      <c r="N6" s="17"/>
      <c r="O6" s="17"/>
      <c r="P6" s="17"/>
      <c r="Q6" s="17"/>
    </row>
    <row r="7" spans="2:17" ht="12" customHeight="1" x14ac:dyDescent="0.35">
      <c r="B7" s="23" t="s">
        <v>6</v>
      </c>
      <c r="C7" s="14"/>
      <c r="D7" s="56" t="s">
        <v>7</v>
      </c>
      <c r="E7" s="56"/>
      <c r="F7" s="56" t="s">
        <v>8</v>
      </c>
      <c r="G7" s="16"/>
      <c r="H7" s="27">
        <f>29246/1000</f>
        <v>29.245999999999999</v>
      </c>
      <c r="I7" s="69">
        <f>34321/1000</f>
        <v>34.320999999999998</v>
      </c>
      <c r="J7" s="69">
        <f>63525/1000</f>
        <v>63.524999999999999</v>
      </c>
      <c r="K7" s="69">
        <v>103.69199999999999</v>
      </c>
      <c r="L7" s="48">
        <v>123.44499999999999</v>
      </c>
      <c r="M7" s="48">
        <v>128.375</v>
      </c>
      <c r="N7" s="17" t="s">
        <v>9</v>
      </c>
      <c r="O7" s="17" t="s">
        <v>9</v>
      </c>
      <c r="P7" s="17" t="s">
        <v>9</v>
      </c>
      <c r="Q7" s="17" t="s">
        <v>9</v>
      </c>
    </row>
    <row r="8" spans="2:17" ht="12" customHeight="1" x14ac:dyDescent="0.35">
      <c r="B8" s="130" t="s">
        <v>10</v>
      </c>
      <c r="C8" s="131"/>
      <c r="D8" s="132" t="s">
        <v>7</v>
      </c>
      <c r="E8" s="132"/>
      <c r="F8" s="132" t="s">
        <v>8</v>
      </c>
      <c r="G8" s="133"/>
      <c r="H8" s="27">
        <f>35215/1000</f>
        <v>35.215000000000003</v>
      </c>
      <c r="I8" s="69">
        <f>39287/1000</f>
        <v>39.286999999999999</v>
      </c>
      <c r="J8" s="69">
        <f>45127/1000</f>
        <v>45.127000000000002</v>
      </c>
      <c r="K8" s="69">
        <v>44.771999999999998</v>
      </c>
      <c r="L8" s="48">
        <v>23.72</v>
      </c>
      <c r="M8" s="48">
        <v>31.369</v>
      </c>
      <c r="N8" s="17" t="s">
        <v>9</v>
      </c>
      <c r="O8" s="17" t="s">
        <v>9</v>
      </c>
      <c r="P8" s="17" t="s">
        <v>9</v>
      </c>
      <c r="Q8" s="17" t="s">
        <v>9</v>
      </c>
    </row>
    <row r="9" spans="2:17" ht="12" customHeight="1" x14ac:dyDescent="0.35">
      <c r="B9" s="134" t="s">
        <v>11</v>
      </c>
      <c r="C9" s="135"/>
      <c r="D9" s="132" t="s">
        <v>7</v>
      </c>
      <c r="E9" s="132"/>
      <c r="F9" s="132" t="s">
        <v>8</v>
      </c>
      <c r="G9" s="133"/>
      <c r="H9" s="27">
        <f>(53363+7252)/1000</f>
        <v>60.615000000000002</v>
      </c>
      <c r="I9" s="69">
        <f>(76174+13410)/1000</f>
        <v>89.584000000000003</v>
      </c>
      <c r="J9" s="69">
        <f>(76047+13906)/1000</f>
        <v>89.953000000000003</v>
      </c>
      <c r="K9" s="69">
        <v>102.989</v>
      </c>
      <c r="L9" s="48">
        <v>133.18600000000001</v>
      </c>
      <c r="M9" s="48">
        <v>118.9</v>
      </c>
      <c r="N9" s="17" t="s">
        <v>9</v>
      </c>
      <c r="O9" s="17" t="s">
        <v>9</v>
      </c>
      <c r="P9" s="17" t="s">
        <v>9</v>
      </c>
      <c r="Q9" s="17" t="s">
        <v>9</v>
      </c>
    </row>
    <row r="10" spans="2:17" ht="12" customHeight="1" x14ac:dyDescent="0.35">
      <c r="B10" s="130" t="s">
        <v>12</v>
      </c>
      <c r="C10" s="131"/>
      <c r="D10" s="132" t="s">
        <v>7</v>
      </c>
      <c r="E10" s="132"/>
      <c r="F10" s="132" t="s">
        <v>8</v>
      </c>
      <c r="G10" s="133"/>
      <c r="H10" s="27">
        <f>18915/1000</f>
        <v>18.914999999999999</v>
      </c>
      <c r="I10" s="69">
        <f>19339/1000</f>
        <v>19.338999999999999</v>
      </c>
      <c r="J10" s="69">
        <f>19090/1000</f>
        <v>19.09</v>
      </c>
      <c r="K10" s="69">
        <v>24.187999999999999</v>
      </c>
      <c r="L10" s="48">
        <v>25.693000000000001</v>
      </c>
      <c r="M10" s="48">
        <v>23.36</v>
      </c>
      <c r="N10" s="17" t="s">
        <v>9</v>
      </c>
      <c r="O10" s="17" t="s">
        <v>9</v>
      </c>
      <c r="P10" s="17" t="s">
        <v>9</v>
      </c>
      <c r="Q10" s="17" t="s">
        <v>9</v>
      </c>
    </row>
    <row r="11" spans="2:17" ht="12" customHeight="1" x14ac:dyDescent="0.35">
      <c r="B11" s="130" t="s">
        <v>13</v>
      </c>
      <c r="C11" s="131"/>
      <c r="D11" s="132" t="s">
        <v>7</v>
      </c>
      <c r="E11" s="132"/>
      <c r="F11" s="132" t="s">
        <v>8</v>
      </c>
      <c r="G11" s="133"/>
      <c r="H11" s="27">
        <f>90709/1000</f>
        <v>90.709000000000003</v>
      </c>
      <c r="I11" s="69">
        <f>103692/1000</f>
        <v>103.69199999999999</v>
      </c>
      <c r="J11" s="69">
        <f>51534/1000</f>
        <v>51.533999999999999</v>
      </c>
      <c r="K11" s="69">
        <v>51.453000000000003</v>
      </c>
      <c r="L11" s="48">
        <v>55.996000000000002</v>
      </c>
      <c r="M11" s="48">
        <v>62.97</v>
      </c>
      <c r="N11" s="17" t="s">
        <v>9</v>
      </c>
      <c r="O11" s="17" t="s">
        <v>9</v>
      </c>
      <c r="P11" s="17" t="s">
        <v>9</v>
      </c>
      <c r="Q11" s="17" t="s">
        <v>9</v>
      </c>
    </row>
    <row r="12" spans="2:17" ht="12" customHeight="1" x14ac:dyDescent="0.35">
      <c r="B12" s="136" t="s">
        <v>14</v>
      </c>
      <c r="C12" s="131"/>
      <c r="D12" s="132"/>
      <c r="E12" s="132"/>
      <c r="F12" s="132"/>
      <c r="G12" s="133"/>
      <c r="H12" s="27"/>
      <c r="I12" s="69"/>
      <c r="J12" s="69"/>
      <c r="K12" s="69"/>
      <c r="L12" s="48"/>
      <c r="M12" s="48"/>
      <c r="N12" s="17"/>
      <c r="O12" s="17"/>
      <c r="P12" s="17"/>
      <c r="Q12" s="17"/>
    </row>
    <row r="13" spans="2:17" ht="12" customHeight="1" x14ac:dyDescent="0.35">
      <c r="B13" s="130" t="s">
        <v>11</v>
      </c>
      <c r="C13" s="131"/>
      <c r="D13" s="132" t="s">
        <v>7</v>
      </c>
      <c r="E13" s="132"/>
      <c r="F13" s="132" t="s">
        <v>8</v>
      </c>
      <c r="G13" s="133"/>
      <c r="H13" s="27">
        <f>457585/1000</f>
        <v>457.58499999999998</v>
      </c>
      <c r="I13" s="69">
        <f>463920/1000</f>
        <v>463.92</v>
      </c>
      <c r="J13" s="69">
        <f>478866/1000</f>
        <v>478.86599999999999</v>
      </c>
      <c r="K13" s="69">
        <v>466.20800000000003</v>
      </c>
      <c r="L13" s="48">
        <v>389.553</v>
      </c>
      <c r="M13" s="48">
        <v>388.72300000000001</v>
      </c>
      <c r="N13" s="17" t="s">
        <v>9</v>
      </c>
      <c r="O13" s="17" t="s">
        <v>9</v>
      </c>
      <c r="P13" s="17" t="s">
        <v>9</v>
      </c>
      <c r="Q13" s="17" t="s">
        <v>9</v>
      </c>
    </row>
    <row r="14" spans="2:17" ht="12" customHeight="1" x14ac:dyDescent="0.35">
      <c r="B14" s="137" t="s">
        <v>15</v>
      </c>
      <c r="C14" s="138"/>
      <c r="D14" s="139" t="s">
        <v>7</v>
      </c>
      <c r="E14" s="139"/>
      <c r="F14" s="139" t="s">
        <v>8</v>
      </c>
      <c r="G14" s="139"/>
      <c r="H14" s="200">
        <f>1717/1000</f>
        <v>1.7170000000000001</v>
      </c>
      <c r="I14" s="70">
        <f>1730/1000</f>
        <v>1.73</v>
      </c>
      <c r="J14" s="70">
        <f>1621/1000</f>
        <v>1.621</v>
      </c>
      <c r="K14" s="70">
        <v>1.0009999999999999</v>
      </c>
      <c r="L14" s="58">
        <v>1</v>
      </c>
      <c r="M14" s="58">
        <v>1.1000000000000001</v>
      </c>
      <c r="N14" s="55" t="s">
        <v>9</v>
      </c>
      <c r="O14" s="55" t="s">
        <v>9</v>
      </c>
      <c r="P14" s="55" t="s">
        <v>9</v>
      </c>
      <c r="Q14" s="55" t="s">
        <v>9</v>
      </c>
    </row>
    <row r="15" spans="2:17" ht="12" customHeight="1" x14ac:dyDescent="0.35">
      <c r="B15" s="130" t="s">
        <v>16</v>
      </c>
      <c r="C15" s="130"/>
      <c r="D15" s="130"/>
      <c r="E15" s="130"/>
      <c r="F15" s="130" t="s">
        <v>8</v>
      </c>
      <c r="G15" s="130"/>
      <c r="H15" s="199">
        <f t="shared" ref="H15:M15" si="0">SUM(H7:H14)</f>
        <v>694.00199999999995</v>
      </c>
      <c r="I15" s="71">
        <f t="shared" si="0"/>
        <v>751.87300000000005</v>
      </c>
      <c r="J15" s="71">
        <f t="shared" si="0"/>
        <v>749.71600000000001</v>
      </c>
      <c r="K15" s="71">
        <f t="shared" si="0"/>
        <v>794.30300000000011</v>
      </c>
      <c r="L15" s="45">
        <f t="shared" si="0"/>
        <v>752.59299999999996</v>
      </c>
      <c r="M15" s="45">
        <f t="shared" si="0"/>
        <v>754.79700000000014</v>
      </c>
      <c r="N15" s="140">
        <v>664</v>
      </c>
      <c r="O15" s="140">
        <v>716</v>
      </c>
      <c r="P15" s="140">
        <v>782</v>
      </c>
      <c r="Q15" s="140">
        <v>882</v>
      </c>
    </row>
    <row r="16" spans="2:17" ht="12" customHeight="1" x14ac:dyDescent="0.35">
      <c r="B16" s="130"/>
      <c r="C16" s="130"/>
      <c r="D16" s="130"/>
      <c r="E16" s="130"/>
      <c r="F16" s="130"/>
      <c r="G16" s="130"/>
      <c r="H16" s="53"/>
      <c r="I16" s="71"/>
      <c r="J16" s="71"/>
      <c r="K16" s="71"/>
      <c r="L16" s="45"/>
      <c r="M16" s="45"/>
      <c r="N16" s="140"/>
      <c r="O16" s="140"/>
      <c r="P16" s="140"/>
      <c r="Q16" s="140"/>
    </row>
    <row r="17" spans="2:18" ht="12" customHeight="1" x14ac:dyDescent="0.35">
      <c r="B17" s="124" t="s">
        <v>186</v>
      </c>
      <c r="C17" s="124"/>
      <c r="D17" s="124" t="s">
        <v>7</v>
      </c>
      <c r="E17" s="124"/>
      <c r="F17" s="141" t="s">
        <v>17</v>
      </c>
      <c r="G17" s="124"/>
      <c r="H17" s="195">
        <v>2.9</v>
      </c>
      <c r="I17" s="72">
        <v>3</v>
      </c>
      <c r="J17" s="72">
        <v>2.8</v>
      </c>
      <c r="K17" s="72">
        <v>2.6</v>
      </c>
      <c r="L17" s="54">
        <v>2.7</v>
      </c>
      <c r="M17" s="54">
        <v>2.7</v>
      </c>
      <c r="N17" s="142">
        <v>2.9</v>
      </c>
      <c r="O17" s="142">
        <v>3.4</v>
      </c>
      <c r="P17" s="142">
        <v>3.8</v>
      </c>
      <c r="Q17" s="142">
        <v>4</v>
      </c>
    </row>
    <row r="18" spans="2:18" ht="12" customHeight="1" x14ac:dyDescent="0.35">
      <c r="B18" s="143"/>
      <c r="C18" s="143"/>
      <c r="D18" s="144"/>
      <c r="E18" s="144"/>
      <c r="F18" s="144"/>
      <c r="G18" s="144"/>
      <c r="H18" s="169"/>
      <c r="I18" s="73"/>
      <c r="J18" s="73"/>
      <c r="K18" s="73"/>
      <c r="L18" s="8"/>
      <c r="M18" s="8"/>
    </row>
    <row r="19" spans="2:18" ht="12" customHeight="1" x14ac:dyDescent="0.35">
      <c r="B19" s="145"/>
      <c r="C19" s="145"/>
      <c r="D19" s="146"/>
      <c r="E19" s="146"/>
      <c r="F19" s="146"/>
      <c r="G19" s="144"/>
      <c r="H19" s="169"/>
      <c r="I19" s="73"/>
      <c r="J19" s="73"/>
      <c r="K19" s="73"/>
      <c r="L19" s="8"/>
      <c r="M19" s="8"/>
    </row>
    <row r="20" spans="2:18" ht="12" customHeight="1" x14ac:dyDescent="0.35">
      <c r="B20" s="145" t="s">
        <v>18</v>
      </c>
      <c r="C20" s="145"/>
      <c r="D20" s="146"/>
      <c r="E20" s="146"/>
      <c r="F20" s="146"/>
      <c r="G20" s="144"/>
      <c r="H20" s="169"/>
      <c r="I20" s="73"/>
      <c r="J20" s="73"/>
      <c r="K20" s="73"/>
      <c r="L20" s="8"/>
      <c r="M20" s="8"/>
    </row>
    <row r="21" spans="2:18" ht="12" customHeight="1" x14ac:dyDescent="0.35">
      <c r="B21" s="124" t="s">
        <v>19</v>
      </c>
      <c r="C21" s="124"/>
      <c r="D21" s="124" t="s">
        <v>20</v>
      </c>
      <c r="E21" s="124"/>
      <c r="F21" s="124" t="s">
        <v>196</v>
      </c>
      <c r="G21" s="124"/>
      <c r="H21" s="27">
        <f>15327/1000</f>
        <v>15.327</v>
      </c>
      <c r="I21" s="74">
        <f>17340/1000</f>
        <v>17.34</v>
      </c>
      <c r="J21" s="74">
        <f>27029/1000</f>
        <v>27.029</v>
      </c>
      <c r="K21" s="74">
        <f>38402/1000</f>
        <v>38.402000000000001</v>
      </c>
      <c r="L21" s="37">
        <f>38242/1000</f>
        <v>38.241999999999997</v>
      </c>
      <c r="M21" s="37">
        <f>39640/1000</f>
        <v>39.64</v>
      </c>
      <c r="N21" s="37">
        <v>49</v>
      </c>
      <c r="O21" s="37">
        <v>54</v>
      </c>
      <c r="P21" s="37">
        <v>73</v>
      </c>
      <c r="Q21" s="37">
        <v>75</v>
      </c>
    </row>
    <row r="22" spans="2:18" ht="12" customHeight="1" x14ac:dyDescent="0.35">
      <c r="B22" s="124" t="s">
        <v>21</v>
      </c>
      <c r="C22" s="124"/>
      <c r="D22" s="124" t="s">
        <v>20</v>
      </c>
      <c r="E22" s="124"/>
      <c r="F22" s="124" t="s">
        <v>196</v>
      </c>
      <c r="G22" s="124"/>
      <c r="H22" s="27">
        <f>25405/1000</f>
        <v>25.405000000000001</v>
      </c>
      <c r="I22" s="74">
        <f>34007/1000</f>
        <v>34.006999999999998</v>
      </c>
      <c r="J22" s="74">
        <f>42251/1000</f>
        <v>42.250999999999998</v>
      </c>
      <c r="K22" s="74">
        <f>45258/1000</f>
        <v>45.258000000000003</v>
      </c>
      <c r="L22" s="37">
        <f>57685/1000</f>
        <v>57.685000000000002</v>
      </c>
      <c r="M22" s="37">
        <f>73700/1000</f>
        <v>73.7</v>
      </c>
      <c r="N22" s="37">
        <v>124</v>
      </c>
      <c r="O22" s="37">
        <v>134</v>
      </c>
      <c r="P22" s="37">
        <v>156</v>
      </c>
      <c r="Q22" s="37">
        <v>185</v>
      </c>
    </row>
    <row r="23" spans="2:18" ht="12" customHeight="1" x14ac:dyDescent="0.35">
      <c r="B23" s="124" t="s">
        <v>22</v>
      </c>
      <c r="C23" s="124"/>
      <c r="D23" s="124" t="s">
        <v>20</v>
      </c>
      <c r="E23" s="124"/>
      <c r="F23" s="124" t="s">
        <v>196</v>
      </c>
      <c r="G23" s="124"/>
      <c r="H23" s="27">
        <f>100377/1000</f>
        <v>100.377</v>
      </c>
      <c r="I23" s="74">
        <f>116454/1000</f>
        <v>116.45399999999999</v>
      </c>
      <c r="J23" s="74">
        <f>136628/1000</f>
        <v>136.62799999999999</v>
      </c>
      <c r="K23" s="74">
        <f>141636/1000</f>
        <v>141.636</v>
      </c>
      <c r="L23" s="37">
        <f xml:space="preserve"> 138985/1000</f>
        <v>138.98500000000001</v>
      </c>
      <c r="M23" s="37">
        <f>155934/1000</f>
        <v>155.934</v>
      </c>
      <c r="N23" s="37">
        <v>168</v>
      </c>
      <c r="O23" s="37" t="s">
        <v>23</v>
      </c>
      <c r="P23" s="37" t="s">
        <v>23</v>
      </c>
      <c r="Q23" s="37" t="s">
        <v>23</v>
      </c>
    </row>
    <row r="24" spans="2:18" ht="12" customHeight="1" x14ac:dyDescent="0.35">
      <c r="B24" s="124" t="s">
        <v>24</v>
      </c>
      <c r="C24" s="124"/>
      <c r="D24" s="124"/>
      <c r="E24" s="124"/>
      <c r="F24" s="124"/>
      <c r="G24" s="124"/>
      <c r="H24" s="27"/>
      <c r="I24" s="74"/>
      <c r="J24" s="74"/>
      <c r="K24" s="74"/>
      <c r="L24" s="37"/>
      <c r="M24" s="37"/>
      <c r="N24" s="37"/>
      <c r="O24" s="37"/>
      <c r="P24" s="37"/>
      <c r="Q24" s="37"/>
    </row>
    <row r="25" spans="2:18" ht="12" customHeight="1" x14ac:dyDescent="0.35">
      <c r="B25" s="124"/>
      <c r="C25" s="124" t="s">
        <v>25</v>
      </c>
      <c r="D25" s="124" t="s">
        <v>7</v>
      </c>
      <c r="E25" s="124"/>
      <c r="F25" s="124" t="s">
        <v>196</v>
      </c>
      <c r="G25" s="124"/>
      <c r="H25" s="27">
        <f>1242800/1000</f>
        <v>1242.8</v>
      </c>
      <c r="I25" s="74">
        <f>1220000/1000</f>
        <v>1220</v>
      </c>
      <c r="J25" s="74">
        <f>1751600/1000</f>
        <v>1751.6</v>
      </c>
      <c r="K25" s="74">
        <f>2199000/1000</f>
        <v>2199</v>
      </c>
      <c r="L25" s="37">
        <f xml:space="preserve"> 2313000/1000</f>
        <v>2313</v>
      </c>
      <c r="M25" s="37">
        <v>2261</v>
      </c>
      <c r="N25" s="37">
        <v>2342</v>
      </c>
      <c r="O25" s="37" t="s">
        <v>23</v>
      </c>
      <c r="P25" s="37" t="s">
        <v>23</v>
      </c>
      <c r="Q25" s="37" t="s">
        <v>23</v>
      </c>
      <c r="R25" s="49"/>
    </row>
    <row r="26" spans="2:18" ht="12" customHeight="1" x14ac:dyDescent="0.35">
      <c r="B26" s="124"/>
      <c r="C26" s="124" t="s">
        <v>26</v>
      </c>
      <c r="D26" s="124" t="s">
        <v>7</v>
      </c>
      <c r="E26" s="124"/>
      <c r="F26" s="124" t="s">
        <v>196</v>
      </c>
      <c r="G26" s="124"/>
      <c r="H26" s="27">
        <f>29300/1000</f>
        <v>29.3</v>
      </c>
      <c r="I26" s="74">
        <f>33100/1000</f>
        <v>33.1</v>
      </c>
      <c r="J26" s="74">
        <f>37800/1000</f>
        <v>37.799999999999997</v>
      </c>
      <c r="K26" s="74">
        <f>39200/1000</f>
        <v>39.200000000000003</v>
      </c>
      <c r="L26" s="37">
        <f>42000/1000</f>
        <v>42</v>
      </c>
      <c r="M26" s="37">
        <v>43</v>
      </c>
      <c r="N26" s="37">
        <v>52</v>
      </c>
      <c r="O26" s="37" t="s">
        <v>23</v>
      </c>
      <c r="P26" s="37" t="s">
        <v>23</v>
      </c>
      <c r="Q26" s="37" t="s">
        <v>23</v>
      </c>
      <c r="R26" s="49"/>
    </row>
    <row r="27" spans="2:18" x14ac:dyDescent="0.35">
      <c r="C27" s="124" t="s">
        <v>27</v>
      </c>
      <c r="D27" s="124" t="s">
        <v>7</v>
      </c>
      <c r="F27" s="124" t="s">
        <v>196</v>
      </c>
      <c r="H27" s="182">
        <f>17100/1000</f>
        <v>17.100000000000001</v>
      </c>
      <c r="I27" s="80">
        <f>21100/1000</f>
        <v>21.1</v>
      </c>
      <c r="J27" s="80">
        <f>19700/1000</f>
        <v>19.7</v>
      </c>
      <c r="K27" s="80">
        <f>36600/1000</f>
        <v>36.6</v>
      </c>
      <c r="L27" s="74">
        <f>23200/1000</f>
        <v>23.2</v>
      </c>
      <c r="M27" s="37">
        <f>30600/1000</f>
        <v>30.6</v>
      </c>
      <c r="N27" s="37" t="s">
        <v>23</v>
      </c>
      <c r="O27" s="37" t="s">
        <v>23</v>
      </c>
      <c r="P27" s="37" t="s">
        <v>23</v>
      </c>
      <c r="Q27" s="37" t="s">
        <v>23</v>
      </c>
      <c r="R27" s="49"/>
    </row>
    <row r="28" spans="2:18" ht="12" customHeight="1" x14ac:dyDescent="0.35">
      <c r="B28" s="124"/>
      <c r="C28" s="124" t="s">
        <v>28</v>
      </c>
      <c r="D28" s="124" t="s">
        <v>7</v>
      </c>
      <c r="E28" s="124"/>
      <c r="F28" s="124" t="s">
        <v>196</v>
      </c>
      <c r="G28" s="124"/>
      <c r="H28" s="27">
        <f>121500/1000</f>
        <v>121.5</v>
      </c>
      <c r="I28" s="74">
        <f>144200/1000</f>
        <v>144.19999999999999</v>
      </c>
      <c r="J28" s="74">
        <f>164800/1000</f>
        <v>164.8</v>
      </c>
      <c r="K28" s="74">
        <f>206200/1000</f>
        <v>206.2</v>
      </c>
      <c r="L28" s="74">
        <f>215300/1000</f>
        <v>215.3</v>
      </c>
      <c r="M28" s="37">
        <f>199800/1000</f>
        <v>199.8</v>
      </c>
      <c r="N28" s="37" t="s">
        <v>23</v>
      </c>
      <c r="O28" s="37" t="s">
        <v>23</v>
      </c>
      <c r="P28" s="37" t="s">
        <v>23</v>
      </c>
      <c r="Q28" s="37" t="s">
        <v>23</v>
      </c>
      <c r="R28" s="49"/>
    </row>
    <row r="29" spans="2:18" ht="12" customHeight="1" x14ac:dyDescent="0.35">
      <c r="B29" s="124"/>
      <c r="C29" s="124" t="s">
        <v>29</v>
      </c>
      <c r="D29" s="124" t="s">
        <v>7</v>
      </c>
      <c r="E29" s="124"/>
      <c r="F29" s="124" t="s">
        <v>196</v>
      </c>
      <c r="G29" s="124"/>
      <c r="H29" s="27">
        <f>800/1000</f>
        <v>0.8</v>
      </c>
      <c r="I29" s="74">
        <f>800/1000</f>
        <v>0.8</v>
      </c>
      <c r="J29" s="74">
        <f>1000/1000</f>
        <v>1</v>
      </c>
      <c r="K29" s="74">
        <f>1200/1000</f>
        <v>1.2</v>
      </c>
      <c r="L29" s="74">
        <f>800/1000</f>
        <v>0.8</v>
      </c>
      <c r="M29" s="37">
        <f>2400/1000</f>
        <v>2.4</v>
      </c>
      <c r="N29" s="37"/>
      <c r="O29" s="37"/>
      <c r="P29" s="37"/>
      <c r="Q29" s="37"/>
      <c r="R29" s="49"/>
    </row>
    <row r="30" spans="2:18" ht="12" customHeight="1" x14ac:dyDescent="0.35">
      <c r="B30" s="124"/>
      <c r="C30" s="124" t="s">
        <v>30</v>
      </c>
      <c r="D30" s="124" t="s">
        <v>20</v>
      </c>
      <c r="E30" s="124"/>
      <c r="F30" s="124" t="s">
        <v>196</v>
      </c>
      <c r="G30" s="124"/>
      <c r="H30" s="27">
        <f>47303/1000</f>
        <v>47.302999999999997</v>
      </c>
      <c r="I30" s="74">
        <f>54215/1000</f>
        <v>54.215000000000003</v>
      </c>
      <c r="J30" s="74">
        <f>52599/1000</f>
        <v>52.598999999999997</v>
      </c>
      <c r="K30" s="74">
        <f>25469/1000</f>
        <v>25.469000000000001</v>
      </c>
      <c r="L30" s="74">
        <f xml:space="preserve"> 9255/1000</f>
        <v>9.2550000000000008</v>
      </c>
      <c r="M30" s="37">
        <f>14122/1000</f>
        <v>14.122</v>
      </c>
      <c r="N30" s="37">
        <v>114</v>
      </c>
      <c r="O30" s="37">
        <v>110</v>
      </c>
      <c r="P30" s="37">
        <v>123</v>
      </c>
      <c r="Q30" s="37">
        <v>154</v>
      </c>
    </row>
    <row r="31" spans="2:18" ht="12" customHeight="1" x14ac:dyDescent="0.35">
      <c r="B31" s="124"/>
      <c r="C31" s="124" t="s">
        <v>31</v>
      </c>
      <c r="D31" s="124" t="s">
        <v>7</v>
      </c>
      <c r="E31" s="124"/>
      <c r="F31" s="124" t="s">
        <v>196</v>
      </c>
      <c r="G31" s="124"/>
      <c r="H31" s="27">
        <f>48700/1000</f>
        <v>48.7</v>
      </c>
      <c r="I31" s="74">
        <f>51700/1000</f>
        <v>51.7</v>
      </c>
      <c r="J31" s="74">
        <f>49000/1000</f>
        <v>49</v>
      </c>
      <c r="K31" s="74">
        <f>34500/1000</f>
        <v>34.5</v>
      </c>
      <c r="L31" s="74">
        <f xml:space="preserve"> 26800/1000</f>
        <v>26.8</v>
      </c>
      <c r="M31" s="37">
        <f>36900/1000</f>
        <v>36.9</v>
      </c>
      <c r="N31" s="37">
        <v>60</v>
      </c>
      <c r="O31" s="37">
        <v>61</v>
      </c>
      <c r="P31" s="37">
        <v>69</v>
      </c>
      <c r="Q31" s="37">
        <v>73</v>
      </c>
    </row>
    <row r="32" spans="2:18" ht="12" customHeight="1" x14ac:dyDescent="0.35">
      <c r="B32" s="124"/>
      <c r="C32" s="124" t="s">
        <v>32</v>
      </c>
      <c r="D32" s="124" t="s">
        <v>20</v>
      </c>
      <c r="E32" s="124"/>
      <c r="F32" s="124" t="s">
        <v>196</v>
      </c>
      <c r="G32" s="124"/>
      <c r="H32" s="27">
        <f>5600/1000</f>
        <v>5.6</v>
      </c>
      <c r="I32" s="74">
        <f>23710/1000</f>
        <v>23.71</v>
      </c>
      <c r="J32" s="74">
        <f>21158/1000</f>
        <v>21.158000000000001</v>
      </c>
      <c r="K32" s="74">
        <f>7090/1000</f>
        <v>7.09</v>
      </c>
      <c r="L32" s="74">
        <f>7082/1000</f>
        <v>7.0819999999999999</v>
      </c>
      <c r="M32" s="37">
        <f>7194/1000</f>
        <v>7.194</v>
      </c>
      <c r="N32" s="37" t="s">
        <v>23</v>
      </c>
      <c r="O32" s="37" t="s">
        <v>23</v>
      </c>
      <c r="P32" s="37" t="s">
        <v>23</v>
      </c>
      <c r="Q32" s="37" t="s">
        <v>23</v>
      </c>
      <c r="R32" s="49"/>
    </row>
    <row r="33" spans="2:17" ht="12" customHeight="1" x14ac:dyDescent="0.35">
      <c r="B33" s="124"/>
      <c r="C33" s="124" t="s">
        <v>33</v>
      </c>
      <c r="D33" s="124" t="s">
        <v>7</v>
      </c>
      <c r="E33" s="124"/>
      <c r="F33" s="124" t="s">
        <v>196</v>
      </c>
      <c r="G33" s="124"/>
      <c r="H33" s="27">
        <f>15248200/1000</f>
        <v>15248.2</v>
      </c>
      <c r="I33" s="74">
        <f>17142500/1000</f>
        <v>17142.5</v>
      </c>
      <c r="J33" s="74">
        <f>29658200/1000</f>
        <v>29658.2</v>
      </c>
      <c r="K33" s="74">
        <f>28262400/1000</f>
        <v>28262.400000000001</v>
      </c>
      <c r="L33" s="74">
        <f>25352500/1000</f>
        <v>25352.5</v>
      </c>
      <c r="M33" s="37">
        <f>27281100/1000</f>
        <v>27281.1</v>
      </c>
      <c r="N33" s="37">
        <v>33000</v>
      </c>
      <c r="O33" s="37">
        <v>32000</v>
      </c>
      <c r="P33" s="37">
        <v>34000</v>
      </c>
      <c r="Q33" s="37">
        <v>34000</v>
      </c>
    </row>
    <row r="34" spans="2:17" ht="12" customHeight="1" x14ac:dyDescent="0.35">
      <c r="B34" s="137"/>
      <c r="C34" s="137" t="s">
        <v>34</v>
      </c>
      <c r="D34" s="137" t="s">
        <v>7</v>
      </c>
      <c r="E34" s="137"/>
      <c r="F34" s="137" t="s">
        <v>196</v>
      </c>
      <c r="G34" s="137"/>
      <c r="H34" s="128">
        <f>19700/1000</f>
        <v>19.7</v>
      </c>
      <c r="I34" s="75">
        <f>21900/1000</f>
        <v>21.9</v>
      </c>
      <c r="J34" s="75">
        <f>27300/1000</f>
        <v>27.3</v>
      </c>
      <c r="K34" s="75">
        <f>31800/1000</f>
        <v>31.8</v>
      </c>
      <c r="L34" s="46">
        <f xml:space="preserve"> 33000/1000</f>
        <v>33</v>
      </c>
      <c r="M34" s="46">
        <f>33000/1000</f>
        <v>33</v>
      </c>
      <c r="N34" s="46" t="s">
        <v>23</v>
      </c>
      <c r="O34" s="46" t="s">
        <v>23</v>
      </c>
      <c r="P34" s="46" t="s">
        <v>23</v>
      </c>
      <c r="Q34" s="46" t="s">
        <v>23</v>
      </c>
    </row>
    <row r="35" spans="2:17" ht="12" customHeight="1" x14ac:dyDescent="0.35">
      <c r="B35" s="130" t="s">
        <v>35</v>
      </c>
      <c r="C35" s="130"/>
      <c r="D35" s="130"/>
      <c r="E35" s="130"/>
      <c r="F35" s="130" t="s">
        <v>36</v>
      </c>
      <c r="G35" s="130"/>
      <c r="H35" s="53">
        <f t="shared" ref="H35:Q35" si="1">SUM(H21:H22)+SUM(H25:H34)</f>
        <v>16821.735000000001</v>
      </c>
      <c r="I35" s="71">
        <f t="shared" si="1"/>
        <v>18764.572000000004</v>
      </c>
      <c r="J35" s="71">
        <f t="shared" si="1"/>
        <v>31852.436999999998</v>
      </c>
      <c r="K35" s="71">
        <f t="shared" si="1"/>
        <v>30927.118999999999</v>
      </c>
      <c r="L35" s="45">
        <f t="shared" si="1"/>
        <v>28118.864000000001</v>
      </c>
      <c r="M35" s="45">
        <f>SUM(M21:M22)+SUM(M25:M34)</f>
        <v>30022.455999999998</v>
      </c>
      <c r="N35" s="45">
        <f t="shared" si="1"/>
        <v>35741</v>
      </c>
      <c r="O35" s="45">
        <f t="shared" si="1"/>
        <v>32359</v>
      </c>
      <c r="P35" s="45">
        <f t="shared" si="1"/>
        <v>34421</v>
      </c>
      <c r="Q35" s="45">
        <f t="shared" si="1"/>
        <v>34487</v>
      </c>
    </row>
    <row r="36" spans="2:17" ht="12" customHeight="1" x14ac:dyDescent="0.35">
      <c r="B36" s="143"/>
      <c r="C36" s="143"/>
      <c r="D36" s="144"/>
      <c r="E36" s="144"/>
      <c r="F36" s="144"/>
      <c r="G36" s="144"/>
      <c r="H36" s="169"/>
      <c r="I36" s="73"/>
      <c r="J36" s="73"/>
      <c r="K36" s="73"/>
      <c r="L36" s="8"/>
      <c r="M36" s="8"/>
    </row>
    <row r="37" spans="2:17" ht="12" customHeight="1" x14ac:dyDescent="0.35">
      <c r="B37" s="124" t="s">
        <v>37</v>
      </c>
      <c r="C37" s="124"/>
      <c r="D37" s="124" t="s">
        <v>7</v>
      </c>
      <c r="E37" s="124"/>
      <c r="F37" s="124" t="s">
        <v>197</v>
      </c>
      <c r="G37" s="124"/>
      <c r="H37" s="196">
        <v>0.06</v>
      </c>
      <c r="I37" s="77">
        <v>7.0000000000000007E-2</v>
      </c>
      <c r="J37" s="77">
        <v>0.1</v>
      </c>
      <c r="K37" s="77">
        <v>0.14000000000000001</v>
      </c>
      <c r="L37" s="59">
        <v>0.16</v>
      </c>
      <c r="M37" s="59">
        <v>0.17</v>
      </c>
      <c r="N37" s="59">
        <v>0.22</v>
      </c>
      <c r="O37" s="59">
        <v>0.26</v>
      </c>
      <c r="P37" s="59">
        <v>0.36</v>
      </c>
      <c r="Q37" s="59">
        <v>0.34</v>
      </c>
    </row>
    <row r="38" spans="2:17" ht="12" customHeight="1" x14ac:dyDescent="0.35">
      <c r="B38" s="137" t="s">
        <v>38</v>
      </c>
      <c r="C38" s="137"/>
      <c r="D38" s="137" t="s">
        <v>7</v>
      </c>
      <c r="E38" s="137"/>
      <c r="F38" s="137" t="s">
        <v>197</v>
      </c>
      <c r="G38" s="137"/>
      <c r="H38" s="197">
        <v>0.11</v>
      </c>
      <c r="I38" s="78">
        <v>0.14000000000000001</v>
      </c>
      <c r="J38" s="78">
        <v>0.16</v>
      </c>
      <c r="K38" s="78">
        <v>0.17</v>
      </c>
      <c r="L38" s="60">
        <v>0.25</v>
      </c>
      <c r="M38" s="60">
        <v>0.32</v>
      </c>
      <c r="N38" s="60">
        <v>0.55000000000000004</v>
      </c>
      <c r="O38" s="60">
        <v>0.64</v>
      </c>
      <c r="P38" s="60">
        <v>0.76</v>
      </c>
      <c r="Q38" s="60">
        <v>0.84</v>
      </c>
    </row>
    <row r="39" spans="2:17" ht="12" customHeight="1" x14ac:dyDescent="0.35">
      <c r="B39" s="130" t="s">
        <v>16</v>
      </c>
      <c r="C39" s="130"/>
      <c r="D39" s="130"/>
      <c r="E39" s="130"/>
      <c r="F39" s="124" t="s">
        <v>197</v>
      </c>
      <c r="G39" s="130"/>
      <c r="H39" s="62">
        <f t="shared" ref="H39:M39" si="2">SUM(H37:H38)</f>
        <v>0.16999999999999998</v>
      </c>
      <c r="I39" s="79">
        <f t="shared" si="2"/>
        <v>0.21000000000000002</v>
      </c>
      <c r="J39" s="79">
        <f t="shared" si="2"/>
        <v>0.26</v>
      </c>
      <c r="K39" s="79">
        <f t="shared" si="2"/>
        <v>0.31000000000000005</v>
      </c>
      <c r="L39" s="61">
        <f t="shared" si="2"/>
        <v>0.41000000000000003</v>
      </c>
      <c r="M39" s="61">
        <f t="shared" si="2"/>
        <v>0.49</v>
      </c>
      <c r="N39" s="61">
        <f t="shared" ref="N39:Q39" si="3">SUM(N37:N38)</f>
        <v>0.77</v>
      </c>
      <c r="O39" s="61">
        <f t="shared" si="3"/>
        <v>0.9</v>
      </c>
      <c r="P39" s="61">
        <f t="shared" si="3"/>
        <v>1.1200000000000001</v>
      </c>
      <c r="Q39" s="61">
        <f t="shared" si="3"/>
        <v>1.18</v>
      </c>
    </row>
    <row r="40" spans="2:17" ht="12" customHeight="1" x14ac:dyDescent="0.35">
      <c r="B40" s="143"/>
      <c r="C40" s="143"/>
      <c r="D40" s="144"/>
      <c r="E40" s="144"/>
      <c r="F40" s="144"/>
      <c r="G40" s="144"/>
      <c r="H40" s="169"/>
      <c r="I40" s="73"/>
      <c r="J40" s="73"/>
      <c r="K40" s="73"/>
      <c r="L40" s="8"/>
      <c r="M40" s="8"/>
    </row>
    <row r="41" spans="2:17" ht="12" customHeight="1" x14ac:dyDescent="0.35">
      <c r="B41" s="143"/>
      <c r="C41" s="143"/>
      <c r="D41" s="144"/>
      <c r="E41" s="144"/>
      <c r="F41" s="144"/>
      <c r="G41" s="144"/>
      <c r="H41" s="169"/>
      <c r="I41" s="73"/>
      <c r="J41" s="73"/>
      <c r="K41" s="73"/>
      <c r="L41" s="8"/>
      <c r="M41" s="8"/>
    </row>
    <row r="42" spans="2:17" ht="12" customHeight="1" x14ac:dyDescent="0.35">
      <c r="B42" s="145" t="s">
        <v>39</v>
      </c>
      <c r="C42" s="145"/>
      <c r="D42" s="144"/>
      <c r="E42" s="144"/>
      <c r="F42" s="144"/>
      <c r="G42" s="144"/>
      <c r="H42" s="169"/>
      <c r="I42" s="73"/>
      <c r="J42" s="73"/>
      <c r="K42" s="73"/>
      <c r="L42" s="8"/>
      <c r="M42" s="8"/>
    </row>
    <row r="43" spans="2:17" ht="12" customHeight="1" x14ac:dyDescent="0.35">
      <c r="B43" s="124" t="s">
        <v>40</v>
      </c>
      <c r="C43" s="124"/>
      <c r="D43" s="124" t="s">
        <v>7</v>
      </c>
      <c r="E43" s="124"/>
      <c r="F43" s="141" t="s">
        <v>41</v>
      </c>
      <c r="G43" s="124"/>
      <c r="H43" s="27">
        <v>24</v>
      </c>
      <c r="I43" s="74">
        <v>26</v>
      </c>
      <c r="J43" s="74">
        <v>38</v>
      </c>
      <c r="K43" s="74">
        <v>49</v>
      </c>
      <c r="L43" s="74">
        <v>54</v>
      </c>
      <c r="M43" s="37" t="s">
        <v>23</v>
      </c>
      <c r="N43" s="37" t="s">
        <v>23</v>
      </c>
      <c r="O43" s="37" t="s">
        <v>23</v>
      </c>
      <c r="P43" s="37" t="s">
        <v>23</v>
      </c>
      <c r="Q43" s="37" t="s">
        <v>23</v>
      </c>
    </row>
    <row r="44" spans="2:17" ht="12" customHeight="1" x14ac:dyDescent="0.35">
      <c r="B44" s="124" t="s">
        <v>42</v>
      </c>
      <c r="C44" s="124"/>
      <c r="D44" s="124" t="s">
        <v>7</v>
      </c>
      <c r="E44" s="124"/>
      <c r="F44" s="124" t="s">
        <v>41</v>
      </c>
      <c r="G44" s="124"/>
      <c r="H44" s="27">
        <v>46</v>
      </c>
      <c r="I44" s="74">
        <v>50</v>
      </c>
      <c r="J44" s="74">
        <v>62</v>
      </c>
      <c r="K44" s="74">
        <v>61</v>
      </c>
      <c r="L44" s="74">
        <v>63</v>
      </c>
      <c r="M44" s="37" t="s">
        <v>23</v>
      </c>
      <c r="N44" s="37" t="s">
        <v>23</v>
      </c>
      <c r="O44" s="37" t="s">
        <v>23</v>
      </c>
      <c r="P44" s="37" t="s">
        <v>23</v>
      </c>
      <c r="Q44" s="37" t="s">
        <v>23</v>
      </c>
    </row>
    <row r="45" spans="2:17" ht="12" customHeight="1" x14ac:dyDescent="0.35">
      <c r="B45" s="124" t="s">
        <v>43</v>
      </c>
      <c r="C45" s="124"/>
      <c r="D45" s="124" t="s">
        <v>7</v>
      </c>
      <c r="E45" s="124"/>
      <c r="F45" s="124" t="s">
        <v>41</v>
      </c>
      <c r="G45" s="124"/>
      <c r="H45" s="27">
        <v>7</v>
      </c>
      <c r="I45" s="74">
        <v>8</v>
      </c>
      <c r="J45" s="74">
        <v>11</v>
      </c>
      <c r="K45" s="74">
        <v>12</v>
      </c>
      <c r="L45" s="74">
        <v>13</v>
      </c>
      <c r="M45" s="37" t="s">
        <v>23</v>
      </c>
      <c r="N45" s="37" t="s">
        <v>23</v>
      </c>
      <c r="O45" s="37" t="s">
        <v>23</v>
      </c>
      <c r="P45" s="37" t="s">
        <v>23</v>
      </c>
      <c r="Q45" s="37" t="s">
        <v>23</v>
      </c>
    </row>
    <row r="46" spans="2:17" ht="12" customHeight="1" x14ac:dyDescent="0.35">
      <c r="B46" s="143"/>
      <c r="C46" s="143"/>
      <c r="D46" s="144"/>
      <c r="E46" s="144"/>
      <c r="F46" s="144"/>
      <c r="G46" s="144"/>
      <c r="H46" s="169"/>
      <c r="I46" s="73"/>
      <c r="J46" s="73"/>
      <c r="K46" s="73"/>
      <c r="L46" s="8"/>
      <c r="M46" s="8"/>
    </row>
    <row r="47" spans="2:17" ht="12" customHeight="1" x14ac:dyDescent="0.35">
      <c r="B47" s="147" t="s">
        <v>157</v>
      </c>
      <c r="C47" s="147"/>
      <c r="D47" s="147"/>
      <c r="E47" s="147"/>
      <c r="F47" s="147"/>
      <c r="G47" s="147"/>
      <c r="H47" s="117"/>
      <c r="I47" s="67"/>
      <c r="J47" s="67"/>
      <c r="K47" s="67"/>
      <c r="L47" s="12"/>
      <c r="M47" s="12"/>
      <c r="N47" s="12"/>
      <c r="O47" s="12"/>
      <c r="P47" s="12"/>
      <c r="Q47" s="12"/>
    </row>
    <row r="48" spans="2:17" ht="12" customHeight="1" x14ac:dyDescent="0.35">
      <c r="B48" s="145"/>
      <c r="C48" s="145"/>
      <c r="D48" s="144"/>
      <c r="E48" s="144"/>
      <c r="F48" s="144"/>
      <c r="G48" s="144"/>
      <c r="H48" s="169"/>
      <c r="I48" s="73"/>
      <c r="J48" s="73"/>
      <c r="K48" s="73"/>
      <c r="L48" s="8"/>
      <c r="M48" s="8"/>
    </row>
    <row r="49" spans="1:17" ht="12" customHeight="1" x14ac:dyDescent="0.35">
      <c r="A49" s="101"/>
      <c r="B49" s="145" t="s">
        <v>156</v>
      </c>
      <c r="C49" s="145"/>
      <c r="D49" s="144"/>
      <c r="E49" s="144"/>
      <c r="F49" s="144"/>
      <c r="G49" s="144"/>
      <c r="H49" s="169"/>
      <c r="I49" s="73"/>
      <c r="J49" s="73"/>
      <c r="K49" s="73"/>
      <c r="L49" s="8"/>
      <c r="M49" s="8"/>
    </row>
    <row r="50" spans="1:17" ht="12" customHeight="1" x14ac:dyDescent="0.35">
      <c r="A50" s="101"/>
      <c r="B50" s="124" t="s">
        <v>191</v>
      </c>
      <c r="C50" s="124"/>
      <c r="D50" s="124" t="s">
        <v>7</v>
      </c>
      <c r="E50" s="124"/>
      <c r="F50" s="141" t="s">
        <v>41</v>
      </c>
      <c r="G50" s="124"/>
      <c r="H50" s="185">
        <v>103000</v>
      </c>
      <c r="I50" s="100" t="s">
        <v>23</v>
      </c>
      <c r="J50" s="100" t="s">
        <v>23</v>
      </c>
      <c r="K50" s="100" t="s">
        <v>23</v>
      </c>
      <c r="L50" s="100" t="s">
        <v>23</v>
      </c>
      <c r="M50" s="148" t="s">
        <v>23</v>
      </c>
      <c r="N50" s="37" t="s">
        <v>23</v>
      </c>
      <c r="O50" s="37" t="s">
        <v>23</v>
      </c>
      <c r="P50" s="37" t="s">
        <v>23</v>
      </c>
      <c r="Q50" s="37" t="s">
        <v>23</v>
      </c>
    </row>
    <row r="51" spans="1:17" ht="12" customHeight="1" x14ac:dyDescent="0.35">
      <c r="A51" s="101"/>
      <c r="B51" s="124" t="s">
        <v>192</v>
      </c>
      <c r="C51" s="124"/>
      <c r="D51" s="124" t="s">
        <v>7</v>
      </c>
      <c r="E51" s="124"/>
      <c r="F51" s="141" t="s">
        <v>66</v>
      </c>
      <c r="G51" s="124"/>
      <c r="H51" s="185">
        <f>H66/H50</f>
        <v>2.5999999999999999E-2</v>
      </c>
      <c r="I51" s="100" t="s">
        <v>23</v>
      </c>
      <c r="J51" s="100" t="s">
        <v>23</v>
      </c>
      <c r="K51" s="100" t="s">
        <v>23</v>
      </c>
      <c r="L51" s="100" t="s">
        <v>23</v>
      </c>
      <c r="M51" s="37" t="s">
        <v>23</v>
      </c>
      <c r="N51" s="37" t="s">
        <v>23</v>
      </c>
      <c r="O51" s="37" t="s">
        <v>23</v>
      </c>
      <c r="P51" s="37" t="s">
        <v>23</v>
      </c>
      <c r="Q51" s="37" t="s">
        <v>23</v>
      </c>
    </row>
    <row r="52" spans="1:17" ht="12" customHeight="1" x14ac:dyDescent="0.35">
      <c r="B52" s="145"/>
      <c r="C52" s="145"/>
      <c r="D52" s="144"/>
      <c r="E52" s="144"/>
      <c r="F52" s="144"/>
      <c r="G52" s="144"/>
      <c r="H52" s="169"/>
      <c r="I52" s="73"/>
      <c r="J52" s="73"/>
      <c r="K52" s="73"/>
      <c r="L52" s="8"/>
      <c r="M52" s="8"/>
    </row>
    <row r="53" spans="1:17" ht="12" customHeight="1" x14ac:dyDescent="0.35">
      <c r="B53" s="145"/>
      <c r="C53" s="145"/>
      <c r="D53" s="144"/>
      <c r="E53" s="144"/>
      <c r="F53" s="144"/>
      <c r="G53" s="144"/>
      <c r="H53" s="169"/>
      <c r="I53" s="73"/>
      <c r="J53" s="73"/>
      <c r="K53" s="73"/>
      <c r="L53" s="8"/>
      <c r="M53" s="8"/>
    </row>
    <row r="54" spans="1:17" ht="12" customHeight="1" x14ac:dyDescent="0.35">
      <c r="B54" s="145" t="s">
        <v>44</v>
      </c>
      <c r="C54" s="145"/>
      <c r="D54" s="144"/>
      <c r="E54" s="144"/>
      <c r="F54" s="144"/>
      <c r="G54" s="144"/>
      <c r="H54" s="169"/>
      <c r="I54" s="73"/>
      <c r="J54" s="73"/>
      <c r="K54" s="73"/>
      <c r="L54" s="8"/>
      <c r="M54" s="8"/>
    </row>
    <row r="55" spans="1:17" ht="12" customHeight="1" x14ac:dyDescent="0.35">
      <c r="B55" s="124" t="s">
        <v>45</v>
      </c>
      <c r="C55" s="124"/>
      <c r="D55" s="124" t="s">
        <v>7</v>
      </c>
      <c r="E55" s="124"/>
      <c r="F55" s="141" t="s">
        <v>41</v>
      </c>
      <c r="G55" s="124"/>
      <c r="H55" s="27">
        <f>2+632</f>
        <v>634</v>
      </c>
      <c r="I55" s="74">
        <f>0+398</f>
        <v>398</v>
      </c>
      <c r="J55" s="74">
        <f>0+157</f>
        <v>157</v>
      </c>
      <c r="K55" s="100" t="s">
        <v>23</v>
      </c>
      <c r="L55" s="100" t="s">
        <v>23</v>
      </c>
      <c r="M55" s="148" t="s">
        <v>23</v>
      </c>
      <c r="N55" s="37" t="s">
        <v>23</v>
      </c>
      <c r="O55" s="37" t="s">
        <v>23</v>
      </c>
      <c r="P55" s="37" t="s">
        <v>23</v>
      </c>
      <c r="Q55" s="37" t="s">
        <v>23</v>
      </c>
    </row>
    <row r="56" spans="1:17" ht="12" customHeight="1" x14ac:dyDescent="0.35">
      <c r="B56" s="124" t="s">
        <v>46</v>
      </c>
      <c r="C56" s="124"/>
      <c r="D56" s="124" t="s">
        <v>7</v>
      </c>
      <c r="E56" s="124"/>
      <c r="F56" s="141" t="s">
        <v>41</v>
      </c>
      <c r="G56" s="124"/>
      <c r="H56" s="27">
        <f>4592+3159</f>
        <v>7751</v>
      </c>
      <c r="I56" s="74">
        <f>4031+3138</f>
        <v>7169</v>
      </c>
      <c r="J56" s="74">
        <f>38+3435</f>
        <v>3473</v>
      </c>
      <c r="K56" s="100" t="s">
        <v>23</v>
      </c>
      <c r="L56" s="100" t="s">
        <v>23</v>
      </c>
      <c r="M56" s="148" t="s">
        <v>23</v>
      </c>
      <c r="N56" s="37" t="s">
        <v>23</v>
      </c>
      <c r="O56" s="37" t="s">
        <v>23</v>
      </c>
      <c r="P56" s="37" t="s">
        <v>23</v>
      </c>
      <c r="Q56" s="37" t="s">
        <v>23</v>
      </c>
    </row>
    <row r="57" spans="1:17" ht="12" customHeight="1" x14ac:dyDescent="0.35">
      <c r="B57" s="124" t="s">
        <v>190</v>
      </c>
      <c r="C57" s="124"/>
      <c r="D57" s="124" t="s">
        <v>7</v>
      </c>
      <c r="E57" s="124"/>
      <c r="F57" s="141" t="s">
        <v>41</v>
      </c>
      <c r="G57" s="124"/>
      <c r="H57" s="27">
        <f>2+111</f>
        <v>113</v>
      </c>
      <c r="I57" s="74">
        <f>1+214</f>
        <v>215</v>
      </c>
      <c r="J57" s="74">
        <f>5+344</f>
        <v>349</v>
      </c>
      <c r="K57" s="100" t="s">
        <v>23</v>
      </c>
      <c r="L57" s="100" t="s">
        <v>23</v>
      </c>
      <c r="M57" s="148" t="s">
        <v>23</v>
      </c>
      <c r="N57" s="37" t="s">
        <v>23</v>
      </c>
      <c r="O57" s="37" t="s">
        <v>23</v>
      </c>
      <c r="P57" s="37" t="s">
        <v>23</v>
      </c>
      <c r="Q57" s="37" t="s">
        <v>23</v>
      </c>
    </row>
    <row r="58" spans="1:17" ht="12" customHeight="1" x14ac:dyDescent="0.35">
      <c r="B58" s="124" t="s">
        <v>47</v>
      </c>
      <c r="C58" s="124"/>
      <c r="D58" s="124" t="s">
        <v>7</v>
      </c>
      <c r="E58" s="124"/>
      <c r="F58" s="141" t="s">
        <v>41</v>
      </c>
      <c r="G58" s="124"/>
      <c r="H58" s="27">
        <f>75+1231</f>
        <v>1306</v>
      </c>
      <c r="I58" s="74">
        <f>1323+146</f>
        <v>1469</v>
      </c>
      <c r="J58" s="74">
        <f>1613+43</f>
        <v>1656</v>
      </c>
      <c r="K58" s="100" t="s">
        <v>23</v>
      </c>
      <c r="L58" s="100" t="s">
        <v>23</v>
      </c>
      <c r="M58" s="148" t="s">
        <v>23</v>
      </c>
      <c r="N58" s="37" t="s">
        <v>23</v>
      </c>
      <c r="O58" s="37" t="s">
        <v>23</v>
      </c>
      <c r="P58" s="37" t="s">
        <v>23</v>
      </c>
      <c r="Q58" s="37" t="s">
        <v>23</v>
      </c>
    </row>
    <row r="59" spans="1:17" ht="12" customHeight="1" x14ac:dyDescent="0.35">
      <c r="B59" s="124" t="s">
        <v>48</v>
      </c>
      <c r="C59" s="124"/>
      <c r="D59" s="124" t="s">
        <v>7</v>
      </c>
      <c r="E59" s="124"/>
      <c r="F59" s="141" t="s">
        <v>41</v>
      </c>
      <c r="G59" s="124"/>
      <c r="H59" s="27">
        <f>54+937</f>
        <v>991</v>
      </c>
      <c r="I59" s="74">
        <f>925+34</f>
        <v>959</v>
      </c>
      <c r="J59" s="74">
        <f>1528+19</f>
        <v>1547</v>
      </c>
      <c r="K59" s="100" t="s">
        <v>23</v>
      </c>
      <c r="L59" s="100" t="s">
        <v>23</v>
      </c>
      <c r="M59" s="37" t="s">
        <v>23</v>
      </c>
      <c r="N59" s="37" t="s">
        <v>23</v>
      </c>
      <c r="O59" s="37" t="s">
        <v>23</v>
      </c>
      <c r="P59" s="37" t="s">
        <v>23</v>
      </c>
      <c r="Q59" s="37" t="s">
        <v>23</v>
      </c>
    </row>
    <row r="60" spans="1:17" ht="12" customHeight="1" x14ac:dyDescent="0.35">
      <c r="B60" s="137" t="s">
        <v>188</v>
      </c>
      <c r="C60" s="137"/>
      <c r="D60" s="137" t="s">
        <v>7</v>
      </c>
      <c r="E60" s="137"/>
      <c r="F60" s="137" t="s">
        <v>41</v>
      </c>
      <c r="G60" s="137"/>
      <c r="H60" s="128">
        <f>4+188</f>
        <v>192</v>
      </c>
      <c r="I60" s="75">
        <f>1+0</f>
        <v>1</v>
      </c>
      <c r="J60" s="75">
        <f>0+0</f>
        <v>0</v>
      </c>
      <c r="K60" s="106" t="s">
        <v>23</v>
      </c>
      <c r="L60" s="107" t="s">
        <v>23</v>
      </c>
      <c r="M60" s="107" t="s">
        <v>23</v>
      </c>
      <c r="N60" s="108" t="s">
        <v>23</v>
      </c>
      <c r="O60" s="108" t="s">
        <v>23</v>
      </c>
      <c r="P60" s="108" t="s">
        <v>23</v>
      </c>
      <c r="Q60" s="108" t="s">
        <v>23</v>
      </c>
    </row>
    <row r="61" spans="1:17" ht="12" customHeight="1" x14ac:dyDescent="0.35">
      <c r="B61" s="130" t="s">
        <v>16</v>
      </c>
      <c r="C61" s="130"/>
      <c r="D61" s="130"/>
      <c r="E61" s="130"/>
      <c r="F61" s="141" t="s">
        <v>41</v>
      </c>
      <c r="G61" s="130"/>
      <c r="H61" s="53">
        <f>SUM(H55:H60)</f>
        <v>10987</v>
      </c>
      <c r="I61" s="71">
        <f>SUM(I55:I60)</f>
        <v>10211</v>
      </c>
      <c r="J61" s="71">
        <f>SUM(J55:J60)</f>
        <v>7182</v>
      </c>
      <c r="K61" s="100" t="s">
        <v>23</v>
      </c>
      <c r="L61" s="100" t="s">
        <v>23</v>
      </c>
      <c r="M61" s="100" t="s">
        <v>23</v>
      </c>
      <c r="N61" s="100" t="s">
        <v>23</v>
      </c>
      <c r="O61" s="100" t="s">
        <v>23</v>
      </c>
      <c r="P61" s="100" t="s">
        <v>23</v>
      </c>
      <c r="Q61" s="100" t="s">
        <v>23</v>
      </c>
    </row>
    <row r="62" spans="1:17" s="127" customFormat="1" ht="12" customHeight="1" x14ac:dyDescent="0.35">
      <c r="B62" s="149"/>
      <c r="C62" s="149" t="s">
        <v>189</v>
      </c>
      <c r="D62" s="149" t="s">
        <v>7</v>
      </c>
      <c r="E62" s="149"/>
      <c r="F62" s="150" t="s">
        <v>41</v>
      </c>
      <c r="G62" s="149"/>
      <c r="H62" s="198">
        <v>4729</v>
      </c>
      <c r="I62" s="151">
        <v>4213</v>
      </c>
      <c r="J62" s="151">
        <v>105</v>
      </c>
      <c r="K62" s="152" t="s">
        <v>23</v>
      </c>
      <c r="L62" s="152" t="s">
        <v>23</v>
      </c>
      <c r="M62" s="152" t="s">
        <v>23</v>
      </c>
      <c r="N62" s="152" t="s">
        <v>23</v>
      </c>
      <c r="O62" s="152" t="s">
        <v>23</v>
      </c>
      <c r="P62" s="152" t="s">
        <v>23</v>
      </c>
      <c r="Q62" s="152" t="s">
        <v>23</v>
      </c>
    </row>
    <row r="63" spans="1:17" ht="12" customHeight="1" x14ac:dyDescent="0.35">
      <c r="B63" s="143"/>
      <c r="C63" s="143"/>
      <c r="D63" s="143"/>
      <c r="E63" s="143"/>
      <c r="F63" s="143"/>
      <c r="G63" s="143"/>
      <c r="H63" s="182"/>
      <c r="I63" s="80"/>
      <c r="J63" s="80"/>
      <c r="K63" s="80"/>
      <c r="L63" s="47"/>
      <c r="M63" s="47"/>
      <c r="N63" s="30"/>
      <c r="O63" s="30"/>
      <c r="P63" s="30"/>
      <c r="Q63" s="30"/>
    </row>
    <row r="64" spans="1:17" ht="12" customHeight="1" x14ac:dyDescent="0.35">
      <c r="B64" s="145" t="s">
        <v>49</v>
      </c>
      <c r="C64" s="143"/>
      <c r="D64" s="143"/>
      <c r="E64" s="143"/>
      <c r="F64" s="143"/>
      <c r="G64" s="143"/>
      <c r="H64" s="182"/>
      <c r="I64" s="80"/>
      <c r="J64" s="80"/>
      <c r="K64" s="80"/>
      <c r="L64" s="47"/>
      <c r="M64" s="47"/>
      <c r="N64" s="30"/>
      <c r="O64" s="30"/>
      <c r="P64" s="30"/>
      <c r="Q64" s="30"/>
    </row>
    <row r="65" spans="2:19" ht="12" customHeight="1" x14ac:dyDescent="0.35">
      <c r="B65" s="124" t="s">
        <v>45</v>
      </c>
      <c r="C65" s="124"/>
      <c r="D65" s="124" t="s">
        <v>7</v>
      </c>
      <c r="E65" s="124"/>
      <c r="F65" s="141" t="s">
        <v>41</v>
      </c>
      <c r="G65" s="124"/>
      <c r="H65" s="27">
        <v>97</v>
      </c>
      <c r="I65" s="95">
        <v>49</v>
      </c>
      <c r="J65" s="95">
        <v>36</v>
      </c>
      <c r="K65" s="95">
        <v>25</v>
      </c>
      <c r="L65" s="153">
        <v>2</v>
      </c>
      <c r="M65" s="153">
        <v>135</v>
      </c>
      <c r="N65" s="28" t="s">
        <v>23</v>
      </c>
      <c r="O65" s="28" t="s">
        <v>23</v>
      </c>
      <c r="P65" s="28" t="s">
        <v>23</v>
      </c>
      <c r="Q65" s="28" t="s">
        <v>23</v>
      </c>
    </row>
    <row r="66" spans="2:19" ht="12" customHeight="1" x14ac:dyDescent="0.35">
      <c r="B66" s="124" t="s">
        <v>46</v>
      </c>
      <c r="C66" s="124"/>
      <c r="D66" s="124" t="s">
        <v>7</v>
      </c>
      <c r="E66" s="124"/>
      <c r="F66" s="141" t="s">
        <v>41</v>
      </c>
      <c r="G66" s="124"/>
      <c r="H66" s="27">
        <v>2678</v>
      </c>
      <c r="I66" s="95">
        <v>3752</v>
      </c>
      <c r="J66" s="95">
        <v>3581</v>
      </c>
      <c r="K66" s="95">
        <v>4636</v>
      </c>
      <c r="L66" s="153">
        <v>5211</v>
      </c>
      <c r="M66" s="153">
        <v>5690</v>
      </c>
      <c r="N66" s="28" t="s">
        <v>23</v>
      </c>
      <c r="O66" s="28" t="s">
        <v>23</v>
      </c>
      <c r="P66" s="28" t="s">
        <v>23</v>
      </c>
      <c r="Q66" s="28" t="s">
        <v>23</v>
      </c>
    </row>
    <row r="67" spans="2:19" ht="12" customHeight="1" x14ac:dyDescent="0.35">
      <c r="B67" s="124" t="s">
        <v>47</v>
      </c>
      <c r="C67" s="124"/>
      <c r="D67" s="124" t="s">
        <v>7</v>
      </c>
      <c r="E67" s="124"/>
      <c r="F67" s="141" t="s">
        <v>41</v>
      </c>
      <c r="G67" s="124"/>
      <c r="H67" s="27">
        <v>24</v>
      </c>
      <c r="I67" s="95">
        <v>69</v>
      </c>
      <c r="J67" s="95">
        <v>151</v>
      </c>
      <c r="K67" s="95">
        <v>146</v>
      </c>
      <c r="L67" s="153">
        <v>164</v>
      </c>
      <c r="M67" s="153">
        <v>179</v>
      </c>
      <c r="N67" s="28" t="s">
        <v>23</v>
      </c>
      <c r="O67" s="28" t="s">
        <v>23</v>
      </c>
      <c r="P67" s="28" t="s">
        <v>23</v>
      </c>
      <c r="Q67" s="28" t="s">
        <v>23</v>
      </c>
    </row>
    <row r="68" spans="2:19" ht="12" customHeight="1" x14ac:dyDescent="0.35">
      <c r="B68" s="137" t="s">
        <v>48</v>
      </c>
      <c r="C68" s="137"/>
      <c r="D68" s="137" t="s">
        <v>7</v>
      </c>
      <c r="E68" s="137"/>
      <c r="F68" s="137" t="s">
        <v>41</v>
      </c>
      <c r="G68" s="137"/>
      <c r="H68" s="27">
        <v>2</v>
      </c>
      <c r="I68" s="96">
        <v>3</v>
      </c>
      <c r="J68" s="96">
        <v>101</v>
      </c>
      <c r="K68" s="96">
        <v>18</v>
      </c>
      <c r="L68" s="154">
        <v>12</v>
      </c>
      <c r="M68" s="154">
        <v>74</v>
      </c>
      <c r="N68" s="29" t="s">
        <v>23</v>
      </c>
      <c r="O68" s="29" t="s">
        <v>23</v>
      </c>
      <c r="P68" s="29" t="s">
        <v>23</v>
      </c>
      <c r="Q68" s="29" t="s">
        <v>23</v>
      </c>
    </row>
    <row r="69" spans="2:19" ht="12" customHeight="1" x14ac:dyDescent="0.35">
      <c r="B69" s="130" t="s">
        <v>16</v>
      </c>
      <c r="C69" s="130"/>
      <c r="D69" s="130"/>
      <c r="E69" s="130"/>
      <c r="F69" s="141" t="s">
        <v>41</v>
      </c>
      <c r="G69" s="130"/>
      <c r="H69" s="199">
        <f>SUM(H65:H68)</f>
        <v>2801</v>
      </c>
      <c r="I69" s="155">
        <f>SUM(I65:I68)</f>
        <v>3873</v>
      </c>
      <c r="J69" s="155">
        <f>SUM(J65:J68)</f>
        <v>3869</v>
      </c>
      <c r="K69" s="155">
        <f>SUM(K65:K68)</f>
        <v>4825</v>
      </c>
      <c r="L69" s="156">
        <f t="shared" ref="L69:M69" si="4">SUM(L65:L68)</f>
        <v>5389</v>
      </c>
      <c r="M69" s="156">
        <f t="shared" si="4"/>
        <v>6078</v>
      </c>
      <c r="N69" s="157" t="s">
        <v>23</v>
      </c>
      <c r="O69" s="157" t="s">
        <v>23</v>
      </c>
      <c r="P69" s="157" t="s">
        <v>23</v>
      </c>
      <c r="Q69" s="157" t="s">
        <v>23</v>
      </c>
    </row>
    <row r="70" spans="2:19" ht="12" customHeight="1" x14ac:dyDescent="0.35">
      <c r="B70" s="143"/>
      <c r="C70" s="143"/>
      <c r="D70" s="144"/>
      <c r="E70" s="144"/>
      <c r="F70" s="144"/>
      <c r="G70" s="144"/>
      <c r="H70" s="169"/>
      <c r="I70" s="73"/>
      <c r="J70" s="73"/>
      <c r="K70" s="73"/>
      <c r="L70" s="8"/>
      <c r="M70" s="8"/>
    </row>
    <row r="71" spans="2:19" ht="12" customHeight="1" x14ac:dyDescent="0.35">
      <c r="B71" s="147" t="s">
        <v>50</v>
      </c>
      <c r="C71" s="147"/>
      <c r="D71" s="147"/>
      <c r="E71" s="147"/>
      <c r="F71" s="147"/>
      <c r="G71" s="147"/>
      <c r="H71" s="117"/>
      <c r="I71" s="67"/>
      <c r="J71" s="67"/>
      <c r="K71" s="67"/>
      <c r="L71" s="12"/>
      <c r="M71" s="12"/>
      <c r="N71" s="12"/>
      <c r="O71" s="12"/>
      <c r="P71" s="12"/>
      <c r="Q71" s="12"/>
    </row>
    <row r="72" spans="2:19" ht="12" customHeight="1" x14ac:dyDescent="0.35">
      <c r="B72" s="145"/>
      <c r="C72" s="145"/>
      <c r="D72" s="144"/>
      <c r="E72" s="144"/>
      <c r="F72" s="144"/>
      <c r="G72" s="144"/>
      <c r="H72" s="169"/>
      <c r="I72" s="73"/>
      <c r="J72" s="73"/>
      <c r="K72" s="73"/>
      <c r="L72" s="8"/>
      <c r="M72" s="8"/>
    </row>
    <row r="73" spans="2:19" ht="12" customHeight="1" x14ac:dyDescent="0.35">
      <c r="B73" s="124" t="s">
        <v>51</v>
      </c>
      <c r="C73" s="124"/>
      <c r="D73" s="124" t="s">
        <v>7</v>
      </c>
      <c r="E73" s="124"/>
      <c r="F73" s="141" t="s">
        <v>198</v>
      </c>
      <c r="G73" s="124"/>
      <c r="H73" s="196">
        <v>0.85</v>
      </c>
      <c r="I73" s="158">
        <v>1.1200000000000001</v>
      </c>
      <c r="J73" s="158">
        <v>0.9</v>
      </c>
      <c r="K73" s="158">
        <v>1.05</v>
      </c>
      <c r="L73" s="159">
        <v>1.2</v>
      </c>
      <c r="M73" s="159">
        <v>1.5</v>
      </c>
      <c r="N73" s="160">
        <v>1.5</v>
      </c>
      <c r="O73" s="160">
        <v>1.6</v>
      </c>
      <c r="P73" s="160">
        <v>1.8</v>
      </c>
      <c r="Q73" s="160">
        <v>2.7</v>
      </c>
    </row>
    <row r="74" spans="2:19" ht="12" customHeight="1" x14ac:dyDescent="0.35">
      <c r="B74" s="143"/>
      <c r="C74" s="143"/>
      <c r="D74" s="144"/>
      <c r="E74" s="144"/>
      <c r="F74" s="144"/>
      <c r="G74" s="144"/>
      <c r="H74" s="169"/>
      <c r="I74" s="8"/>
      <c r="J74" s="8"/>
      <c r="K74" s="8"/>
      <c r="L74" s="8"/>
      <c r="M74" s="8"/>
      <c r="S74" s="63"/>
    </row>
    <row r="75" spans="2:19" ht="12" customHeight="1" x14ac:dyDescent="0.35">
      <c r="B75" s="143" t="s">
        <v>52</v>
      </c>
      <c r="D75" s="144"/>
      <c r="E75" s="144"/>
      <c r="F75" s="144"/>
      <c r="G75" s="144"/>
      <c r="H75" s="169"/>
      <c r="I75" s="8"/>
      <c r="J75" s="8"/>
      <c r="K75" s="8"/>
      <c r="L75" s="8"/>
      <c r="M75" s="8"/>
      <c r="S75" s="63"/>
    </row>
    <row r="76" spans="2:19" ht="12" customHeight="1" x14ac:dyDescent="0.35">
      <c r="B76" s="143" t="s">
        <v>180</v>
      </c>
      <c r="C76" s="143"/>
      <c r="D76" s="144"/>
      <c r="E76" s="144"/>
      <c r="F76" s="144"/>
      <c r="G76" s="144"/>
      <c r="H76" s="169"/>
      <c r="I76" s="8"/>
      <c r="J76" s="8"/>
      <c r="K76" s="8"/>
      <c r="L76" s="8"/>
      <c r="M76" s="8"/>
      <c r="S76" s="63"/>
    </row>
    <row r="77" spans="2:19" ht="12" customHeight="1" x14ac:dyDescent="0.35">
      <c r="B77" s="143" t="s">
        <v>53</v>
      </c>
      <c r="C77" s="143"/>
      <c r="D77" s="144"/>
      <c r="E77" s="144"/>
      <c r="F77" s="144"/>
      <c r="G77" s="144"/>
      <c r="H77" s="169"/>
      <c r="I77" s="8"/>
      <c r="J77" s="8"/>
      <c r="K77" s="8"/>
      <c r="L77" s="8"/>
      <c r="M77" s="8"/>
    </row>
    <row r="78" spans="2:19" ht="12" customHeight="1" x14ac:dyDescent="0.35">
      <c r="B78" s="143" t="s">
        <v>54</v>
      </c>
      <c r="C78" s="143"/>
      <c r="D78" s="144"/>
      <c r="E78" s="144"/>
      <c r="F78" s="144"/>
      <c r="G78" s="144"/>
      <c r="H78" s="169"/>
      <c r="I78" s="8"/>
      <c r="J78" s="8"/>
      <c r="K78" s="8"/>
      <c r="L78" s="8"/>
      <c r="M78" s="8"/>
    </row>
    <row r="79" spans="2:19" ht="12" customHeight="1" x14ac:dyDescent="0.35">
      <c r="B79" s="6"/>
      <c r="C79" s="6"/>
      <c r="D79" s="3"/>
      <c r="E79" s="3"/>
      <c r="F79" s="3"/>
      <c r="G79" s="3"/>
      <c r="H79" s="25"/>
      <c r="I79" s="4"/>
      <c r="J79" s="4"/>
      <c r="K79" s="4"/>
      <c r="L79" s="4"/>
      <c r="M79" s="4"/>
    </row>
    <row r="80" spans="2:19" ht="12" customHeight="1" x14ac:dyDescent="0.35">
      <c r="B80" s="6"/>
      <c r="C80" s="6"/>
      <c r="D80" s="3"/>
      <c r="E80" s="3"/>
      <c r="F80" s="3"/>
      <c r="G80" s="3"/>
      <c r="H80" s="25"/>
      <c r="I80" s="4"/>
      <c r="J80" s="4"/>
      <c r="K80" s="4"/>
      <c r="L80" s="4"/>
      <c r="M80" s="4"/>
    </row>
  </sheetData>
  <pageMargins left="0.7" right="0.7" top="0.75" bottom="0.75" header="0.3" footer="0.3"/>
  <pageSetup orientation="portrait" r:id="rId1"/>
  <customProperties>
    <customPr name="_pios_id" r:id="rId2"/>
  </customProperties>
  <ignoredErrors>
    <ignoredError sqref="L35:M35 K35 N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BF87-1B84-4653-8AEA-031C0DA7E43E}">
  <dimension ref="A1:S102"/>
  <sheetViews>
    <sheetView showGridLines="0" zoomScale="129" zoomScaleNormal="100" workbookViewId="0">
      <pane xSplit="7" ySplit="2" topLeftCell="H3" activePane="bottomRight" state="frozen"/>
      <selection pane="topRight" activeCell="H1" sqref="H1"/>
      <selection pane="bottomLeft" activeCell="A3" sqref="A3"/>
      <selection pane="bottomRight" activeCell="H3" sqref="H3"/>
    </sheetView>
  </sheetViews>
  <sheetFormatPr defaultColWidth="8.90625" defaultRowHeight="15" customHeight="1" x14ac:dyDescent="0.35"/>
  <cols>
    <col min="1" max="2" width="1.54296875" style="1" customWidth="1"/>
    <col min="3" max="3" width="45" style="1" customWidth="1"/>
    <col min="4" max="4" width="12" style="1" bestFit="1" customWidth="1"/>
    <col min="5" max="5" width="3" style="1" customWidth="1"/>
    <col min="6" max="6" width="13.90625" style="1" bestFit="1" customWidth="1"/>
    <col min="7" max="7" width="2.54296875" style="1" customWidth="1"/>
    <col min="8" max="8" width="10.54296875" style="180" customWidth="1"/>
    <col min="9" max="17" width="10.54296875" style="5" customWidth="1"/>
    <col min="18" max="16384" width="8.90625" style="1"/>
  </cols>
  <sheetData>
    <row r="1" spans="2:17" ht="26.25" customHeight="1" x14ac:dyDescent="0.35">
      <c r="B1" s="2" t="s">
        <v>55</v>
      </c>
      <c r="C1" s="2"/>
      <c r="D1" s="2"/>
      <c r="E1" s="2"/>
      <c r="F1" s="3"/>
      <c r="G1" s="3"/>
      <c r="H1" s="25"/>
      <c r="I1" s="4"/>
      <c r="J1" s="4"/>
      <c r="K1" s="4"/>
      <c r="L1" s="4"/>
      <c r="M1" s="4"/>
    </row>
    <row r="2" spans="2:17" ht="12" customHeight="1" x14ac:dyDescent="0.35">
      <c r="B2" s="6"/>
      <c r="C2" s="6"/>
      <c r="D2" s="7" t="s">
        <v>1</v>
      </c>
      <c r="E2" s="7"/>
      <c r="F2" s="7" t="s">
        <v>2</v>
      </c>
      <c r="G2" s="7"/>
      <c r="H2" s="169">
        <v>2025</v>
      </c>
      <c r="I2" s="8">
        <v>2024</v>
      </c>
      <c r="J2" s="8">
        <v>2023</v>
      </c>
      <c r="K2" s="8">
        <v>2022</v>
      </c>
      <c r="L2" s="8">
        <v>2021</v>
      </c>
      <c r="M2" s="8">
        <v>2020</v>
      </c>
      <c r="N2" s="5">
        <v>2019</v>
      </c>
      <c r="O2" s="5">
        <v>2018</v>
      </c>
      <c r="P2" s="5">
        <v>2017</v>
      </c>
      <c r="Q2" s="5">
        <v>2016</v>
      </c>
    </row>
    <row r="3" spans="2:17" ht="12" customHeight="1" x14ac:dyDescent="0.35">
      <c r="B3" s="9" t="s">
        <v>56</v>
      </c>
      <c r="C3" s="9"/>
      <c r="D3" s="10"/>
      <c r="E3" s="10"/>
      <c r="F3" s="10"/>
      <c r="G3" s="10"/>
      <c r="H3" s="117"/>
      <c r="I3" s="67"/>
      <c r="J3" s="67"/>
      <c r="K3" s="67"/>
      <c r="L3" s="12"/>
      <c r="M3" s="12"/>
      <c r="N3" s="12"/>
      <c r="O3" s="12"/>
      <c r="P3" s="12"/>
      <c r="Q3" s="12"/>
    </row>
    <row r="4" spans="2:17" ht="12" customHeight="1" x14ac:dyDescent="0.35">
      <c r="B4" s="13"/>
      <c r="C4" s="13"/>
      <c r="D4" s="7"/>
      <c r="E4" s="7"/>
      <c r="F4" s="7"/>
      <c r="G4" s="7"/>
      <c r="H4" s="118"/>
      <c r="I4" s="81"/>
      <c r="J4" s="81"/>
      <c r="K4" s="81"/>
      <c r="L4" s="31"/>
      <c r="M4" s="31"/>
    </row>
    <row r="5" spans="2:17" ht="12" customHeight="1" x14ac:dyDescent="0.35">
      <c r="B5" s="14" t="s">
        <v>57</v>
      </c>
      <c r="C5" s="14"/>
      <c r="D5" s="15"/>
      <c r="E5" s="15"/>
      <c r="F5" s="15"/>
      <c r="G5" s="15"/>
      <c r="H5" s="176"/>
      <c r="I5" s="82"/>
      <c r="J5" s="82"/>
      <c r="K5" s="82"/>
      <c r="L5" s="32"/>
      <c r="M5" s="32"/>
      <c r="N5" s="17"/>
      <c r="O5" s="17"/>
      <c r="P5" s="17"/>
      <c r="Q5" s="17"/>
    </row>
    <row r="6" spans="2:17" ht="12" customHeight="1" x14ac:dyDescent="0.35">
      <c r="B6" s="18" t="s">
        <v>58</v>
      </c>
      <c r="C6" s="18"/>
      <c r="D6" s="19" t="s">
        <v>20</v>
      </c>
      <c r="E6" s="19"/>
      <c r="F6" s="19" t="s">
        <v>59</v>
      </c>
      <c r="G6" s="19"/>
      <c r="H6" s="125">
        <v>88826</v>
      </c>
      <c r="I6" s="83">
        <v>94236</v>
      </c>
      <c r="J6" s="83">
        <v>99952</v>
      </c>
      <c r="K6" s="83">
        <v>105529</v>
      </c>
      <c r="L6" s="33">
        <v>101322</v>
      </c>
      <c r="M6" s="33">
        <v>100824</v>
      </c>
      <c r="N6" s="20">
        <v>99417</v>
      </c>
      <c r="O6" s="20">
        <v>95359</v>
      </c>
      <c r="P6" s="20">
        <v>100735</v>
      </c>
      <c r="Q6" s="20">
        <v>111464</v>
      </c>
    </row>
    <row r="7" spans="2:17" ht="12" customHeight="1" x14ac:dyDescent="0.35">
      <c r="B7" s="124" t="s">
        <v>60</v>
      </c>
      <c r="C7" s="124"/>
      <c r="D7" s="132" t="s">
        <v>20</v>
      </c>
      <c r="E7" s="132"/>
      <c r="F7" s="132" t="s">
        <v>59</v>
      </c>
      <c r="G7" s="132"/>
      <c r="H7" s="125">
        <v>89425</v>
      </c>
      <c r="I7" s="83">
        <v>97474</v>
      </c>
      <c r="J7" s="83">
        <v>101644</v>
      </c>
      <c r="K7" s="83">
        <v>101741</v>
      </c>
      <c r="L7" s="33">
        <v>100757</v>
      </c>
      <c r="M7" s="33">
        <v>98589</v>
      </c>
      <c r="N7" s="37">
        <v>94503</v>
      </c>
      <c r="O7" s="20">
        <v>97843</v>
      </c>
      <c r="P7" s="20">
        <v>107369</v>
      </c>
      <c r="Q7" s="20">
        <v>114302</v>
      </c>
    </row>
    <row r="8" spans="2:17" ht="12" customHeight="1" x14ac:dyDescent="0.35">
      <c r="B8" s="124" t="s">
        <v>61</v>
      </c>
      <c r="C8" s="124"/>
      <c r="D8" s="124" t="s">
        <v>20</v>
      </c>
      <c r="E8" s="124"/>
      <c r="F8" s="124" t="s">
        <v>59</v>
      </c>
      <c r="G8" s="124"/>
      <c r="H8" s="125">
        <v>328</v>
      </c>
      <c r="I8" s="83">
        <v>339</v>
      </c>
      <c r="J8" s="83">
        <v>433</v>
      </c>
      <c r="K8" s="83">
        <v>627</v>
      </c>
      <c r="L8" s="33">
        <v>868</v>
      </c>
      <c r="M8" s="33">
        <v>609</v>
      </c>
      <c r="N8" s="33">
        <v>582</v>
      </c>
      <c r="O8" s="161">
        <v>560</v>
      </c>
      <c r="P8" s="161">
        <v>676</v>
      </c>
      <c r="Q8" s="161">
        <v>1148</v>
      </c>
    </row>
    <row r="9" spans="2:17" ht="12" customHeight="1" x14ac:dyDescent="0.35">
      <c r="B9" s="124" t="s">
        <v>62</v>
      </c>
      <c r="C9" s="124"/>
      <c r="D9" s="124" t="s">
        <v>7</v>
      </c>
      <c r="E9" s="124"/>
      <c r="F9" s="124" t="s">
        <v>59</v>
      </c>
      <c r="G9" s="124"/>
      <c r="H9" s="125">
        <v>7704</v>
      </c>
      <c r="I9" s="83">
        <v>9610</v>
      </c>
      <c r="J9" s="83">
        <v>13125</v>
      </c>
      <c r="K9" s="83">
        <v>18088</v>
      </c>
      <c r="L9" s="33">
        <v>12308</v>
      </c>
      <c r="M9" s="33">
        <v>11398</v>
      </c>
      <c r="N9" s="161">
        <v>12105</v>
      </c>
      <c r="O9" s="161">
        <v>13023</v>
      </c>
      <c r="P9" s="161">
        <v>12664</v>
      </c>
      <c r="Q9" s="161">
        <v>19382</v>
      </c>
    </row>
    <row r="10" spans="2:17" ht="12" customHeight="1" x14ac:dyDescent="0.35">
      <c r="B10" s="143"/>
      <c r="C10" s="143"/>
      <c r="D10" s="143"/>
      <c r="E10" s="143"/>
      <c r="F10" s="143"/>
      <c r="G10" s="143"/>
      <c r="H10" s="116"/>
      <c r="I10" s="84"/>
      <c r="J10" s="84"/>
      <c r="K10" s="84"/>
      <c r="L10" s="39"/>
      <c r="M10" s="39"/>
      <c r="N10" s="162"/>
      <c r="O10" s="162"/>
      <c r="P10" s="162"/>
      <c r="Q10" s="162"/>
    </row>
    <row r="11" spans="2:17" ht="12" customHeight="1" x14ac:dyDescent="0.35">
      <c r="B11" s="131" t="s">
        <v>164</v>
      </c>
      <c r="C11" s="131"/>
      <c r="D11" s="163"/>
      <c r="E11" s="163"/>
      <c r="F11" s="163"/>
      <c r="G11" s="163"/>
      <c r="H11" s="176"/>
      <c r="I11" s="82"/>
      <c r="J11" s="82"/>
      <c r="K11" s="82"/>
      <c r="L11" s="32"/>
      <c r="M11" s="32"/>
      <c r="N11" s="17"/>
      <c r="O11" s="17"/>
      <c r="P11" s="17"/>
      <c r="Q11" s="17"/>
    </row>
    <row r="12" spans="2:17" ht="12" customHeight="1" x14ac:dyDescent="0.35">
      <c r="B12" s="130" t="s">
        <v>158</v>
      </c>
      <c r="C12" s="130"/>
      <c r="D12" s="124" t="s">
        <v>7</v>
      </c>
      <c r="E12" s="163"/>
      <c r="F12" s="124" t="s">
        <v>59</v>
      </c>
      <c r="G12" s="163"/>
      <c r="H12" s="125">
        <v>35448</v>
      </c>
      <c r="I12" s="83">
        <v>37447</v>
      </c>
      <c r="J12" s="103" t="s">
        <v>23</v>
      </c>
      <c r="K12" s="103" t="s">
        <v>23</v>
      </c>
      <c r="L12" s="105" t="s">
        <v>23</v>
      </c>
      <c r="M12" s="105" t="s">
        <v>23</v>
      </c>
      <c r="N12" s="104" t="s">
        <v>23</v>
      </c>
      <c r="O12" s="104" t="s">
        <v>23</v>
      </c>
      <c r="P12" s="104" t="s">
        <v>23</v>
      </c>
      <c r="Q12" s="104" t="s">
        <v>23</v>
      </c>
    </row>
    <row r="13" spans="2:17" ht="12" customHeight="1" x14ac:dyDescent="0.35">
      <c r="B13" s="130" t="s">
        <v>159</v>
      </c>
      <c r="C13" s="130"/>
      <c r="D13" s="124" t="s">
        <v>7</v>
      </c>
      <c r="E13" s="163"/>
      <c r="F13" s="124" t="s">
        <v>59</v>
      </c>
      <c r="G13" s="163"/>
      <c r="H13" s="125">
        <v>21560</v>
      </c>
      <c r="I13" s="83">
        <v>22892</v>
      </c>
      <c r="J13" s="103" t="s">
        <v>23</v>
      </c>
      <c r="K13" s="103" t="s">
        <v>23</v>
      </c>
      <c r="L13" s="105" t="s">
        <v>23</v>
      </c>
      <c r="M13" s="105" t="s">
        <v>23</v>
      </c>
      <c r="N13" s="104" t="s">
        <v>23</v>
      </c>
      <c r="O13" s="104" t="s">
        <v>23</v>
      </c>
      <c r="P13" s="104" t="s">
        <v>23</v>
      </c>
      <c r="Q13" s="104" t="s">
        <v>23</v>
      </c>
    </row>
    <row r="14" spans="2:17" ht="12" customHeight="1" x14ac:dyDescent="0.35">
      <c r="B14" s="130" t="s">
        <v>160</v>
      </c>
      <c r="C14" s="130"/>
      <c r="D14" s="124" t="s">
        <v>7</v>
      </c>
      <c r="E14" s="163"/>
      <c r="F14" s="124" t="s">
        <v>59</v>
      </c>
      <c r="G14" s="163"/>
      <c r="H14" s="125">
        <v>13171</v>
      </c>
      <c r="I14" s="83">
        <v>14386</v>
      </c>
      <c r="J14" s="103" t="s">
        <v>23</v>
      </c>
      <c r="K14" s="103" t="s">
        <v>23</v>
      </c>
      <c r="L14" s="105" t="s">
        <v>23</v>
      </c>
      <c r="M14" s="105" t="s">
        <v>23</v>
      </c>
      <c r="N14" s="104" t="s">
        <v>23</v>
      </c>
      <c r="O14" s="104" t="s">
        <v>23</v>
      </c>
      <c r="P14" s="104" t="s">
        <v>23</v>
      </c>
      <c r="Q14" s="104" t="s">
        <v>23</v>
      </c>
    </row>
    <row r="15" spans="2:17" ht="12" customHeight="1" x14ac:dyDescent="0.35">
      <c r="B15" s="130" t="s">
        <v>63</v>
      </c>
      <c r="C15" s="130"/>
      <c r="D15" s="124" t="s">
        <v>7</v>
      </c>
      <c r="E15" s="163"/>
      <c r="F15" s="124" t="s">
        <v>59</v>
      </c>
      <c r="G15" s="163"/>
      <c r="H15" s="125">
        <v>9316</v>
      </c>
      <c r="I15" s="83">
        <v>9935</v>
      </c>
      <c r="J15" s="103" t="s">
        <v>23</v>
      </c>
      <c r="K15" s="103" t="s">
        <v>23</v>
      </c>
      <c r="L15" s="105" t="s">
        <v>23</v>
      </c>
      <c r="M15" s="105" t="s">
        <v>23</v>
      </c>
      <c r="N15" s="104" t="s">
        <v>23</v>
      </c>
      <c r="O15" s="104" t="s">
        <v>23</v>
      </c>
      <c r="P15" s="104" t="s">
        <v>23</v>
      </c>
      <c r="Q15" s="104" t="s">
        <v>23</v>
      </c>
    </row>
    <row r="16" spans="2:17" ht="12" customHeight="1" x14ac:dyDescent="0.35">
      <c r="B16" s="130" t="s">
        <v>161</v>
      </c>
      <c r="C16" s="130"/>
      <c r="D16" s="124" t="s">
        <v>7</v>
      </c>
      <c r="E16" s="163"/>
      <c r="F16" s="124" t="s">
        <v>59</v>
      </c>
      <c r="G16" s="163"/>
      <c r="H16" s="125">
        <v>5734</v>
      </c>
      <c r="I16" s="83">
        <v>6099</v>
      </c>
      <c r="J16" s="103" t="s">
        <v>23</v>
      </c>
      <c r="K16" s="103" t="s">
        <v>23</v>
      </c>
      <c r="L16" s="105" t="s">
        <v>23</v>
      </c>
      <c r="M16" s="105" t="s">
        <v>23</v>
      </c>
      <c r="N16" s="104" t="s">
        <v>23</v>
      </c>
      <c r="O16" s="104" t="s">
        <v>23</v>
      </c>
      <c r="P16" s="104" t="s">
        <v>23</v>
      </c>
      <c r="Q16" s="104" t="s">
        <v>23</v>
      </c>
    </row>
    <row r="17" spans="2:17" ht="12" customHeight="1" x14ac:dyDescent="0.35">
      <c r="B17" s="130" t="s">
        <v>162</v>
      </c>
      <c r="C17" s="130"/>
      <c r="D17" s="124" t="s">
        <v>7</v>
      </c>
      <c r="E17" s="163"/>
      <c r="F17" s="124" t="s">
        <v>59</v>
      </c>
      <c r="G17" s="163"/>
      <c r="H17" s="125">
        <v>2701</v>
      </c>
      <c r="I17" s="83">
        <v>2465</v>
      </c>
      <c r="J17" s="103" t="s">
        <v>23</v>
      </c>
      <c r="K17" s="103" t="s">
        <v>23</v>
      </c>
      <c r="L17" s="105" t="s">
        <v>23</v>
      </c>
      <c r="M17" s="105" t="s">
        <v>23</v>
      </c>
      <c r="N17" s="104" t="s">
        <v>23</v>
      </c>
      <c r="O17" s="104" t="s">
        <v>23</v>
      </c>
      <c r="P17" s="104" t="s">
        <v>23</v>
      </c>
      <c r="Q17" s="104" t="s">
        <v>23</v>
      </c>
    </row>
    <row r="18" spans="2:17" ht="12" customHeight="1" x14ac:dyDescent="0.35">
      <c r="B18" s="137" t="s">
        <v>163</v>
      </c>
      <c r="C18" s="137"/>
      <c r="D18" s="137" t="s">
        <v>7</v>
      </c>
      <c r="E18" s="137"/>
      <c r="F18" s="137" t="s">
        <v>59</v>
      </c>
      <c r="G18" s="137"/>
      <c r="H18" s="175">
        <v>896</v>
      </c>
      <c r="I18" s="85">
        <v>1012</v>
      </c>
      <c r="J18" s="106" t="s">
        <v>23</v>
      </c>
      <c r="K18" s="106" t="s">
        <v>23</v>
      </c>
      <c r="L18" s="107" t="s">
        <v>23</v>
      </c>
      <c r="M18" s="107" t="s">
        <v>23</v>
      </c>
      <c r="N18" s="108" t="s">
        <v>23</v>
      </c>
      <c r="O18" s="108" t="s">
        <v>23</v>
      </c>
      <c r="P18" s="108" t="s">
        <v>23</v>
      </c>
      <c r="Q18" s="108" t="s">
        <v>23</v>
      </c>
    </row>
    <row r="19" spans="2:17" ht="12" customHeight="1" x14ac:dyDescent="0.35">
      <c r="B19" s="130" t="s">
        <v>16</v>
      </c>
      <c r="C19" s="130"/>
      <c r="D19" s="130"/>
      <c r="E19" s="130"/>
      <c r="F19" s="124" t="s">
        <v>59</v>
      </c>
      <c r="G19" s="130"/>
      <c r="H19" s="119">
        <f t="shared" ref="H19:I19" si="0">SUM(H12:H18)</f>
        <v>88826</v>
      </c>
      <c r="I19" s="86">
        <f t="shared" si="0"/>
        <v>94236</v>
      </c>
      <c r="J19" s="103" t="s">
        <v>23</v>
      </c>
      <c r="K19" s="103" t="s">
        <v>23</v>
      </c>
      <c r="L19" s="105" t="s">
        <v>23</v>
      </c>
      <c r="M19" s="105" t="s">
        <v>23</v>
      </c>
      <c r="N19" s="104" t="s">
        <v>23</v>
      </c>
      <c r="O19" s="104" t="s">
        <v>23</v>
      </c>
      <c r="P19" s="104" t="s">
        <v>23</v>
      </c>
      <c r="Q19" s="104" t="s">
        <v>23</v>
      </c>
    </row>
    <row r="20" spans="2:17" ht="12" customHeight="1" x14ac:dyDescent="0.35">
      <c r="B20" s="130"/>
      <c r="C20" s="130"/>
      <c r="D20" s="130"/>
      <c r="E20" s="130"/>
      <c r="F20" s="130"/>
      <c r="G20" s="130"/>
      <c r="H20" s="119"/>
      <c r="I20" s="86"/>
      <c r="J20" s="86"/>
      <c r="K20" s="86"/>
      <c r="L20" s="35"/>
      <c r="M20" s="35"/>
      <c r="N20" s="164"/>
      <c r="O20" s="164"/>
      <c r="P20" s="164"/>
      <c r="Q20" s="164"/>
    </row>
    <row r="21" spans="2:17" ht="12" customHeight="1" x14ac:dyDescent="0.35">
      <c r="B21" s="131" t="s">
        <v>64</v>
      </c>
      <c r="C21" s="131"/>
      <c r="D21" s="163"/>
      <c r="E21" s="163"/>
      <c r="F21" s="163"/>
      <c r="G21" s="163"/>
      <c r="H21" s="176"/>
      <c r="I21" s="82"/>
      <c r="J21" s="82"/>
      <c r="K21" s="82"/>
      <c r="L21" s="32"/>
      <c r="M21" s="32"/>
      <c r="N21" s="17"/>
      <c r="O21" s="17"/>
      <c r="P21" s="17"/>
      <c r="Q21" s="17"/>
    </row>
    <row r="22" spans="2:17" ht="12" customHeight="1" x14ac:dyDescent="0.35">
      <c r="B22" s="124" t="s">
        <v>65</v>
      </c>
      <c r="C22" s="124"/>
      <c r="D22" s="132" t="s">
        <v>7</v>
      </c>
      <c r="E22" s="132"/>
      <c r="F22" s="132" t="s">
        <v>66</v>
      </c>
      <c r="G22" s="132"/>
      <c r="H22" s="129">
        <v>7.0000000000000007E-2</v>
      </c>
      <c r="I22" s="87">
        <v>0.06</v>
      </c>
      <c r="J22" s="87">
        <v>0.08</v>
      </c>
      <c r="K22" s="87">
        <v>0.17</v>
      </c>
      <c r="L22" s="41">
        <v>0.12</v>
      </c>
      <c r="M22" s="41">
        <v>0.09</v>
      </c>
      <c r="N22" s="28">
        <v>0.15</v>
      </c>
      <c r="O22" s="28">
        <v>0.12</v>
      </c>
      <c r="P22" s="28">
        <v>0.11</v>
      </c>
      <c r="Q22" s="28">
        <v>0.14000000000000001</v>
      </c>
    </row>
    <row r="23" spans="2:17" ht="12" customHeight="1" x14ac:dyDescent="0.35">
      <c r="B23" s="124" t="s">
        <v>67</v>
      </c>
      <c r="C23" s="124"/>
      <c r="D23" s="132" t="s">
        <v>7</v>
      </c>
      <c r="E23" s="132"/>
      <c r="F23" s="132" t="s">
        <v>66</v>
      </c>
      <c r="G23" s="132"/>
      <c r="H23" s="129">
        <v>0.13</v>
      </c>
      <c r="I23" s="87">
        <v>0.12</v>
      </c>
      <c r="J23" s="87">
        <v>0.13</v>
      </c>
      <c r="K23" s="87">
        <v>0.14000000000000001</v>
      </c>
      <c r="L23" s="41">
        <v>0.12</v>
      </c>
      <c r="M23" s="41">
        <v>0.08</v>
      </c>
      <c r="N23" s="28">
        <v>0.11</v>
      </c>
      <c r="O23" s="28">
        <v>0.17</v>
      </c>
      <c r="P23" s="28">
        <v>0.22</v>
      </c>
      <c r="Q23" s="28">
        <v>0.18</v>
      </c>
    </row>
    <row r="24" spans="2:17" ht="12" customHeight="1" x14ac:dyDescent="0.35">
      <c r="B24" s="124" t="s">
        <v>68</v>
      </c>
      <c r="C24" s="124"/>
      <c r="D24" s="124" t="s">
        <v>7</v>
      </c>
      <c r="E24" s="124"/>
      <c r="F24" s="124" t="s">
        <v>66</v>
      </c>
      <c r="G24" s="124"/>
      <c r="H24" s="129">
        <v>0.47</v>
      </c>
      <c r="I24" s="87">
        <v>0.44</v>
      </c>
      <c r="J24" s="87">
        <v>0.49</v>
      </c>
      <c r="K24" s="87">
        <v>0.37</v>
      </c>
      <c r="L24" s="41">
        <v>0.4</v>
      </c>
      <c r="M24" s="41">
        <v>0.41</v>
      </c>
      <c r="N24" s="28">
        <v>0.32</v>
      </c>
      <c r="O24" s="28">
        <v>0.41</v>
      </c>
      <c r="P24" s="28">
        <v>0.47</v>
      </c>
      <c r="Q24" s="28">
        <v>0.46</v>
      </c>
    </row>
    <row r="25" spans="2:17" ht="12" customHeight="1" x14ac:dyDescent="0.35">
      <c r="B25" s="143"/>
      <c r="C25" s="143"/>
      <c r="D25" s="143"/>
      <c r="E25" s="143"/>
      <c r="F25" s="143"/>
      <c r="G25" s="143"/>
      <c r="H25" s="116"/>
      <c r="I25" s="84"/>
      <c r="J25" s="84"/>
      <c r="K25" s="84"/>
      <c r="L25" s="39"/>
      <c r="M25" s="39"/>
      <c r="N25" s="162"/>
      <c r="O25" s="162"/>
      <c r="P25" s="162"/>
      <c r="Q25" s="162"/>
    </row>
    <row r="26" spans="2:17" ht="12" customHeight="1" x14ac:dyDescent="0.35">
      <c r="B26" s="131" t="s">
        <v>69</v>
      </c>
      <c r="C26" s="131"/>
      <c r="D26" s="163"/>
      <c r="E26" s="163"/>
      <c r="F26" s="163"/>
      <c r="G26" s="163"/>
      <c r="H26" s="176"/>
      <c r="I26" s="82"/>
      <c r="J26" s="82"/>
      <c r="K26" s="82"/>
      <c r="L26" s="32"/>
      <c r="M26" s="32"/>
      <c r="N26" s="17"/>
      <c r="O26" s="17"/>
      <c r="P26" s="17"/>
      <c r="Q26" s="17"/>
    </row>
    <row r="27" spans="2:17" ht="12" customHeight="1" x14ac:dyDescent="0.35">
      <c r="B27" s="124" t="s">
        <v>70</v>
      </c>
      <c r="C27" s="124"/>
      <c r="D27" s="132" t="s">
        <v>20</v>
      </c>
      <c r="E27" s="132"/>
      <c r="F27" s="132" t="s">
        <v>66</v>
      </c>
      <c r="G27" s="132"/>
      <c r="H27" s="129">
        <v>0.02</v>
      </c>
      <c r="I27" s="87">
        <f t="shared" ref="I27" si="1">2871/$I$6</f>
        <v>3.0466063924614796E-2</v>
      </c>
      <c r="J27" s="87">
        <v>0.03</v>
      </c>
      <c r="K27" s="87">
        <v>0.04</v>
      </c>
      <c r="L27" s="41">
        <v>0.03</v>
      </c>
      <c r="M27" s="41">
        <v>0.03</v>
      </c>
      <c r="N27" s="28">
        <v>0.03</v>
      </c>
      <c r="O27" s="28">
        <v>0.03</v>
      </c>
      <c r="P27" s="28">
        <v>0.04</v>
      </c>
      <c r="Q27" s="28">
        <v>0.04</v>
      </c>
    </row>
    <row r="28" spans="2:17" ht="12" customHeight="1" x14ac:dyDescent="0.35">
      <c r="B28" s="124" t="s">
        <v>71</v>
      </c>
      <c r="C28" s="124"/>
      <c r="D28" s="132" t="s">
        <v>20</v>
      </c>
      <c r="E28" s="132"/>
      <c r="F28" s="132" t="s">
        <v>66</v>
      </c>
      <c r="G28" s="132"/>
      <c r="H28" s="129">
        <v>0.25</v>
      </c>
      <c r="I28" s="87">
        <f>25013/$I$6</f>
        <v>0.26542934759539877</v>
      </c>
      <c r="J28" s="87">
        <v>0.28999999999999998</v>
      </c>
      <c r="K28" s="87">
        <v>0.3</v>
      </c>
      <c r="L28" s="41">
        <v>0.31</v>
      </c>
      <c r="M28" s="41">
        <v>0.33</v>
      </c>
      <c r="N28" s="28">
        <v>0.35</v>
      </c>
      <c r="O28" s="28">
        <v>0.36</v>
      </c>
      <c r="P28" s="28">
        <v>0.37</v>
      </c>
      <c r="Q28" s="28">
        <v>0.38</v>
      </c>
    </row>
    <row r="29" spans="2:17" ht="12" customHeight="1" x14ac:dyDescent="0.35">
      <c r="B29" s="124" t="s">
        <v>72</v>
      </c>
      <c r="C29" s="124"/>
      <c r="D29" s="124" t="s">
        <v>20</v>
      </c>
      <c r="E29" s="124"/>
      <c r="F29" s="124" t="s">
        <v>66</v>
      </c>
      <c r="G29" s="124"/>
      <c r="H29" s="129">
        <v>0.37</v>
      </c>
      <c r="I29" s="87">
        <f>33617/$I$6</f>
        <v>0.35673203446665819</v>
      </c>
      <c r="J29" s="87">
        <v>0.35</v>
      </c>
      <c r="K29" s="87">
        <v>0.34</v>
      </c>
      <c r="L29" s="41">
        <v>0.34</v>
      </c>
      <c r="M29" s="41">
        <v>0.34</v>
      </c>
      <c r="N29" s="28">
        <v>0.32</v>
      </c>
      <c r="O29" s="28">
        <v>0.32</v>
      </c>
      <c r="P29" s="28">
        <v>0.32</v>
      </c>
      <c r="Q29" s="28">
        <v>0.31</v>
      </c>
    </row>
    <row r="30" spans="2:17" ht="12" customHeight="1" x14ac:dyDescent="0.35">
      <c r="B30" s="124" t="s">
        <v>73</v>
      </c>
      <c r="C30" s="124"/>
      <c r="D30" s="132" t="s">
        <v>20</v>
      </c>
      <c r="E30" s="132"/>
      <c r="F30" s="132" t="s">
        <v>66</v>
      </c>
      <c r="G30" s="132"/>
      <c r="H30" s="129">
        <v>0.24</v>
      </c>
      <c r="I30" s="87">
        <f>22074/$I$6</f>
        <v>0.23424169107347512</v>
      </c>
      <c r="J30" s="87">
        <v>0.23</v>
      </c>
      <c r="K30" s="87">
        <v>0.23</v>
      </c>
      <c r="L30" s="41">
        <v>0.23</v>
      </c>
      <c r="M30" s="41">
        <v>0.22</v>
      </c>
      <c r="N30" s="28">
        <v>0.22</v>
      </c>
      <c r="O30" s="28">
        <v>0.22</v>
      </c>
      <c r="P30" s="28">
        <v>0.21</v>
      </c>
      <c r="Q30" s="28">
        <v>0.2</v>
      </c>
    </row>
    <row r="31" spans="2:17" ht="12" customHeight="1" x14ac:dyDescent="0.35">
      <c r="B31" s="137" t="s">
        <v>74</v>
      </c>
      <c r="C31" s="137"/>
      <c r="D31" s="139" t="s">
        <v>20</v>
      </c>
      <c r="E31" s="139"/>
      <c r="F31" s="139" t="s">
        <v>66</v>
      </c>
      <c r="G31" s="139"/>
      <c r="H31" s="183">
        <v>0.12</v>
      </c>
      <c r="I31" s="88">
        <f>10661/$I$6</f>
        <v>0.11313086293985314</v>
      </c>
      <c r="J31" s="88">
        <v>0.1</v>
      </c>
      <c r="K31" s="88">
        <v>0.1</v>
      </c>
      <c r="L31" s="42">
        <v>0.09</v>
      </c>
      <c r="M31" s="42">
        <v>0.08</v>
      </c>
      <c r="N31" s="29">
        <v>0.08</v>
      </c>
      <c r="O31" s="29">
        <v>7.0000000000000007E-2</v>
      </c>
      <c r="P31" s="29">
        <v>7.0000000000000007E-2</v>
      </c>
      <c r="Q31" s="29">
        <v>0.06</v>
      </c>
    </row>
    <row r="32" spans="2:17" ht="12" customHeight="1" x14ac:dyDescent="0.35">
      <c r="B32" s="130" t="s">
        <v>16</v>
      </c>
      <c r="C32" s="130"/>
      <c r="D32" s="130"/>
      <c r="E32" s="130"/>
      <c r="F32" s="133" t="s">
        <v>66</v>
      </c>
      <c r="G32" s="133"/>
      <c r="H32" s="165">
        <f>SUM(H27:H31)</f>
        <v>1</v>
      </c>
      <c r="I32" s="94">
        <f>SUM(I27:I31)</f>
        <v>1</v>
      </c>
      <c r="J32" s="94">
        <f>ROUND(SUM(J27:J31),0)</f>
        <v>1</v>
      </c>
      <c r="K32" s="94">
        <f>ROUND(SUM(K27:K31),0)</f>
        <v>1</v>
      </c>
      <c r="L32" s="40">
        <f>SUM(L27:L31)</f>
        <v>0.99999999999999989</v>
      </c>
      <c r="M32" s="40">
        <f t="shared" ref="M32:P32" si="2">ROUND(SUM(M27:M31),1)</f>
        <v>1</v>
      </c>
      <c r="N32" s="157">
        <f t="shared" si="2"/>
        <v>1</v>
      </c>
      <c r="O32" s="157">
        <f t="shared" si="2"/>
        <v>1</v>
      </c>
      <c r="P32" s="157">
        <f t="shared" si="2"/>
        <v>1</v>
      </c>
      <c r="Q32" s="157">
        <f>ROUND(SUM(Q27:Q31),1)</f>
        <v>1</v>
      </c>
    </row>
    <row r="33" spans="1:18" ht="12" customHeight="1" x14ac:dyDescent="0.35">
      <c r="B33" s="143"/>
      <c r="C33" s="143"/>
      <c r="D33" s="143"/>
      <c r="E33" s="143"/>
      <c r="F33" s="143"/>
      <c r="G33" s="143"/>
      <c r="H33" s="116"/>
      <c r="I33" s="84"/>
      <c r="J33" s="84"/>
      <c r="K33" s="84"/>
      <c r="L33" s="39"/>
      <c r="M33" s="39"/>
      <c r="N33" s="162"/>
      <c r="O33" s="162"/>
      <c r="P33" s="162"/>
      <c r="Q33" s="162"/>
    </row>
    <row r="34" spans="1:18" ht="12" customHeight="1" x14ac:dyDescent="0.35">
      <c r="B34" s="131" t="s">
        <v>75</v>
      </c>
      <c r="C34" s="131"/>
      <c r="D34" s="163"/>
      <c r="E34" s="163"/>
      <c r="F34" s="163"/>
      <c r="G34" s="163"/>
      <c r="H34" s="176"/>
      <c r="I34" s="82"/>
      <c r="J34" s="82"/>
      <c r="K34" s="82"/>
      <c r="L34" s="32"/>
      <c r="M34" s="32"/>
      <c r="N34" s="17"/>
      <c r="O34" s="17"/>
      <c r="P34" s="17"/>
      <c r="Q34" s="17"/>
    </row>
    <row r="35" spans="1:18" ht="12" customHeight="1" x14ac:dyDescent="0.35">
      <c r="B35" s="124" t="s">
        <v>77</v>
      </c>
      <c r="C35" s="124"/>
      <c r="D35" s="132" t="s">
        <v>20</v>
      </c>
      <c r="E35" s="124"/>
      <c r="F35" s="124" t="s">
        <v>66</v>
      </c>
      <c r="G35" s="124"/>
      <c r="H35" s="129">
        <v>0.32</v>
      </c>
      <c r="I35" s="87">
        <v>0.31</v>
      </c>
      <c r="J35" s="87">
        <v>0.31</v>
      </c>
      <c r="K35" s="87">
        <v>0.35</v>
      </c>
      <c r="L35" s="41">
        <v>0.36</v>
      </c>
      <c r="M35" s="41">
        <v>0.32</v>
      </c>
      <c r="N35" s="41">
        <v>0.32</v>
      </c>
      <c r="O35" s="41">
        <v>0.31</v>
      </c>
      <c r="P35" s="41">
        <v>0.27</v>
      </c>
      <c r="Q35" s="41">
        <v>0.24</v>
      </c>
    </row>
    <row r="36" spans="1:18" ht="12" customHeight="1" x14ac:dyDescent="0.35">
      <c r="B36" s="124" t="s">
        <v>165</v>
      </c>
      <c r="C36" s="124"/>
      <c r="D36" s="132" t="s">
        <v>20</v>
      </c>
      <c r="E36" s="132"/>
      <c r="F36" s="132" t="s">
        <v>66</v>
      </c>
      <c r="G36" s="132"/>
      <c r="H36" s="129">
        <v>0.25</v>
      </c>
      <c r="I36" s="87">
        <v>0.24</v>
      </c>
      <c r="J36" s="87">
        <v>0.23</v>
      </c>
      <c r="K36" s="87">
        <v>0.22</v>
      </c>
      <c r="L36" s="41">
        <v>0.21</v>
      </c>
      <c r="M36" s="41">
        <v>0.21</v>
      </c>
      <c r="N36" s="41">
        <v>0.2</v>
      </c>
      <c r="O36" s="41">
        <v>0.2</v>
      </c>
      <c r="P36" s="41">
        <v>0.2</v>
      </c>
      <c r="Q36" s="41">
        <v>0.2</v>
      </c>
    </row>
    <row r="37" spans="1:18" ht="12" customHeight="1" x14ac:dyDescent="0.35">
      <c r="B37" s="124" t="s">
        <v>167</v>
      </c>
      <c r="C37" s="124"/>
      <c r="D37" s="132" t="s">
        <v>20</v>
      </c>
      <c r="E37" s="132"/>
      <c r="F37" s="132" t="s">
        <v>66</v>
      </c>
      <c r="G37" s="132"/>
      <c r="H37" s="129">
        <v>0.22</v>
      </c>
      <c r="I37" s="87">
        <v>0.22</v>
      </c>
      <c r="J37" s="87">
        <v>0.22</v>
      </c>
      <c r="K37" s="87">
        <v>0.21</v>
      </c>
      <c r="L37" s="41">
        <v>0.2</v>
      </c>
      <c r="M37" s="41">
        <v>0.2</v>
      </c>
      <c r="N37" s="41">
        <v>0.2</v>
      </c>
      <c r="O37" s="41" t="s">
        <v>23</v>
      </c>
      <c r="P37" s="41" t="s">
        <v>23</v>
      </c>
      <c r="Q37" s="41" t="s">
        <v>23</v>
      </c>
      <c r="R37" s="49"/>
    </row>
    <row r="38" spans="1:18" ht="12" customHeight="1" x14ac:dyDescent="0.35">
      <c r="B38" s="124" t="s">
        <v>166</v>
      </c>
      <c r="C38" s="124"/>
      <c r="D38" s="132" t="s">
        <v>20</v>
      </c>
      <c r="E38" s="132"/>
      <c r="F38" s="132" t="s">
        <v>66</v>
      </c>
      <c r="G38" s="132"/>
      <c r="H38" s="129">
        <v>0.47</v>
      </c>
      <c r="I38" s="87">
        <v>0.46</v>
      </c>
      <c r="J38" s="87">
        <v>0.46</v>
      </c>
      <c r="K38" s="87">
        <v>0.46</v>
      </c>
      <c r="L38" s="41">
        <v>0.47</v>
      </c>
      <c r="M38" s="41">
        <v>0.46</v>
      </c>
      <c r="N38" s="41">
        <v>0.48</v>
      </c>
      <c r="O38" s="41" t="s">
        <v>23</v>
      </c>
      <c r="P38" s="41" t="s">
        <v>23</v>
      </c>
      <c r="Q38" s="41" t="s">
        <v>23</v>
      </c>
      <c r="R38" s="49"/>
    </row>
    <row r="39" spans="1:18" ht="12" customHeight="1" x14ac:dyDescent="0.35">
      <c r="B39" s="124" t="s">
        <v>76</v>
      </c>
      <c r="C39" s="124"/>
      <c r="D39" s="132" t="s">
        <v>20</v>
      </c>
      <c r="E39" s="132"/>
      <c r="F39" s="132" t="s">
        <v>66</v>
      </c>
      <c r="G39" s="132"/>
      <c r="H39" s="129">
        <v>0.27</v>
      </c>
      <c r="I39" s="87">
        <v>0.27</v>
      </c>
      <c r="J39" s="87">
        <v>0.26</v>
      </c>
      <c r="K39" s="87">
        <v>0.25</v>
      </c>
      <c r="L39" s="41">
        <v>0.25</v>
      </c>
      <c r="M39" s="41">
        <v>0.25</v>
      </c>
      <c r="N39" s="28">
        <v>0.25</v>
      </c>
      <c r="O39" s="28">
        <v>0.23</v>
      </c>
      <c r="P39" s="28">
        <v>0.25</v>
      </c>
      <c r="Q39" s="28">
        <v>0.23</v>
      </c>
    </row>
    <row r="40" spans="1:18" ht="12" customHeight="1" x14ac:dyDescent="0.35">
      <c r="B40" s="143"/>
      <c r="C40" s="143"/>
      <c r="D40" s="143"/>
      <c r="E40" s="143"/>
      <c r="F40" s="143"/>
      <c r="G40" s="143"/>
      <c r="H40" s="116"/>
      <c r="I40" s="84"/>
      <c r="J40" s="84"/>
      <c r="K40" s="84"/>
      <c r="L40" s="39"/>
      <c r="M40" s="39"/>
      <c r="N40" s="39"/>
      <c r="O40" s="39"/>
      <c r="P40" s="39"/>
      <c r="Q40" s="39"/>
    </row>
    <row r="41" spans="1:18" ht="12" customHeight="1" x14ac:dyDescent="0.35">
      <c r="B41" s="145" t="s">
        <v>78</v>
      </c>
      <c r="C41" s="145"/>
      <c r="D41" s="144"/>
      <c r="E41" s="144"/>
      <c r="F41" s="144"/>
      <c r="G41" s="144"/>
      <c r="H41" s="169"/>
      <c r="I41" s="73"/>
      <c r="J41" s="73"/>
      <c r="K41" s="73"/>
      <c r="L41" s="8"/>
      <c r="M41" s="8"/>
    </row>
    <row r="42" spans="1:18" ht="12" customHeight="1" x14ac:dyDescent="0.35">
      <c r="A42" s="6"/>
      <c r="B42" s="124" t="s">
        <v>79</v>
      </c>
      <c r="C42" s="124"/>
      <c r="D42" s="124" t="s">
        <v>7</v>
      </c>
      <c r="E42" s="124"/>
      <c r="F42" s="124" t="s">
        <v>80</v>
      </c>
      <c r="G42" s="124"/>
      <c r="H42" s="184">
        <v>25.5</v>
      </c>
      <c r="I42" s="89">
        <v>25.1</v>
      </c>
      <c r="J42" s="89">
        <v>38.1</v>
      </c>
      <c r="K42" s="89">
        <v>18.600000000000001</v>
      </c>
      <c r="L42" s="36">
        <v>19</v>
      </c>
      <c r="M42" s="36">
        <v>24.9</v>
      </c>
      <c r="N42" s="36">
        <v>26.2</v>
      </c>
      <c r="O42" s="36">
        <v>21.3</v>
      </c>
      <c r="P42" s="36">
        <v>21.9</v>
      </c>
      <c r="Q42" s="36">
        <v>29</v>
      </c>
      <c r="R42" s="49"/>
    </row>
    <row r="43" spans="1:18" ht="12" customHeight="1" x14ac:dyDescent="0.35">
      <c r="B43" s="124" t="s">
        <v>81</v>
      </c>
      <c r="C43" s="124"/>
      <c r="D43" s="124" t="s">
        <v>7</v>
      </c>
      <c r="E43" s="124"/>
      <c r="F43" s="132" t="s">
        <v>66</v>
      </c>
      <c r="G43" s="124"/>
      <c r="H43" s="129">
        <v>0.93</v>
      </c>
      <c r="I43" s="87">
        <v>0.88</v>
      </c>
      <c r="J43" s="87">
        <v>0.93</v>
      </c>
      <c r="K43" s="87">
        <v>0.93</v>
      </c>
      <c r="L43" s="41">
        <v>0.91</v>
      </c>
      <c r="M43" s="41">
        <v>0.95</v>
      </c>
      <c r="N43" s="41">
        <v>0.85</v>
      </c>
      <c r="O43" s="41">
        <v>0.71</v>
      </c>
      <c r="P43" s="41">
        <v>0.63</v>
      </c>
      <c r="Q43" s="41">
        <v>0.52</v>
      </c>
    </row>
    <row r="44" spans="1:18" ht="12" customHeight="1" x14ac:dyDescent="0.35">
      <c r="B44" s="143"/>
      <c r="C44" s="143"/>
      <c r="D44" s="144"/>
      <c r="E44" s="144"/>
      <c r="F44" s="144"/>
      <c r="G44" s="144"/>
      <c r="H44" s="169"/>
      <c r="I44" s="73"/>
      <c r="J44" s="73"/>
      <c r="K44" s="73"/>
      <c r="L44" s="8"/>
      <c r="M44" s="8"/>
    </row>
    <row r="45" spans="1:18" ht="12" customHeight="1" x14ac:dyDescent="0.35">
      <c r="B45" s="145" t="s">
        <v>82</v>
      </c>
      <c r="C45" s="143"/>
      <c r="D45" s="144"/>
      <c r="E45" s="144"/>
      <c r="F45" s="144"/>
      <c r="G45" s="144"/>
      <c r="H45" s="169"/>
      <c r="I45" s="73"/>
      <c r="J45" s="73"/>
      <c r="K45" s="73"/>
      <c r="L45" s="8"/>
      <c r="M45" s="8"/>
      <c r="R45" s="49"/>
    </row>
    <row r="46" spans="1:18" ht="12" customHeight="1" x14ac:dyDescent="0.35">
      <c r="B46" s="124" t="s">
        <v>83</v>
      </c>
      <c r="C46" s="124"/>
      <c r="D46" s="124" t="s">
        <v>7</v>
      </c>
      <c r="E46" s="124"/>
      <c r="F46" s="124" t="s">
        <v>193</v>
      </c>
      <c r="G46" s="124"/>
      <c r="H46" s="27">
        <v>79</v>
      </c>
      <c r="I46" s="74">
        <v>79</v>
      </c>
      <c r="J46" s="74">
        <v>80</v>
      </c>
      <c r="K46" s="74">
        <v>81</v>
      </c>
      <c r="L46" s="37">
        <v>81</v>
      </c>
      <c r="M46" s="37">
        <v>83</v>
      </c>
      <c r="N46" s="37">
        <v>78</v>
      </c>
      <c r="O46" s="41" t="s">
        <v>23</v>
      </c>
      <c r="P46" s="41" t="s">
        <v>23</v>
      </c>
      <c r="Q46" s="41" t="s">
        <v>23</v>
      </c>
      <c r="R46" s="49"/>
    </row>
    <row r="47" spans="1:18" ht="12" customHeight="1" x14ac:dyDescent="0.35">
      <c r="B47" s="143"/>
      <c r="C47" s="143"/>
      <c r="D47" s="144"/>
      <c r="E47" s="144"/>
      <c r="F47" s="144"/>
      <c r="G47" s="144"/>
      <c r="H47" s="169"/>
      <c r="I47" s="73"/>
      <c r="J47" s="73"/>
      <c r="K47" s="73"/>
      <c r="L47" s="8"/>
      <c r="M47" s="8"/>
    </row>
    <row r="48" spans="1:18" ht="12" customHeight="1" x14ac:dyDescent="0.35">
      <c r="B48" s="145" t="s">
        <v>84</v>
      </c>
      <c r="C48" s="145"/>
      <c r="D48" s="144"/>
      <c r="E48" s="144"/>
      <c r="F48" s="144"/>
      <c r="G48" s="144"/>
      <c r="H48" s="169"/>
      <c r="I48" s="73"/>
      <c r="J48" s="73"/>
      <c r="K48" s="73"/>
      <c r="L48" s="8"/>
      <c r="M48" s="8"/>
    </row>
    <row r="49" spans="2:18" ht="12" customHeight="1" x14ac:dyDescent="0.35">
      <c r="B49" s="124" t="s">
        <v>85</v>
      </c>
      <c r="C49" s="124"/>
      <c r="D49" s="124" t="s">
        <v>20</v>
      </c>
      <c r="E49" s="124"/>
      <c r="F49" s="124" t="s">
        <v>86</v>
      </c>
      <c r="G49" s="124"/>
      <c r="H49" s="125">
        <v>74645</v>
      </c>
      <c r="I49" s="83">
        <v>77983</v>
      </c>
      <c r="J49" s="83">
        <v>84996</v>
      </c>
      <c r="K49" s="83">
        <v>73526</v>
      </c>
      <c r="L49" s="33">
        <v>62823</v>
      </c>
      <c r="M49" s="33">
        <v>60950</v>
      </c>
      <c r="N49" s="33">
        <v>58620</v>
      </c>
      <c r="O49" s="33">
        <v>53298</v>
      </c>
      <c r="P49" s="33">
        <v>58966</v>
      </c>
      <c r="Q49" s="33">
        <v>60064</v>
      </c>
    </row>
    <row r="50" spans="2:18" ht="12" customHeight="1" x14ac:dyDescent="0.35">
      <c r="B50" s="124" t="s">
        <v>87</v>
      </c>
      <c r="C50" s="124"/>
      <c r="D50" s="124" t="s">
        <v>20</v>
      </c>
      <c r="E50" s="124"/>
      <c r="F50" s="124" t="s">
        <v>86</v>
      </c>
      <c r="G50" s="124"/>
      <c r="H50" s="125">
        <v>16004</v>
      </c>
      <c r="I50" s="83">
        <v>15422</v>
      </c>
      <c r="J50" s="83">
        <v>16442</v>
      </c>
      <c r="K50" s="83">
        <v>15665</v>
      </c>
      <c r="L50" s="33">
        <v>14639</v>
      </c>
      <c r="M50" s="33">
        <v>13695</v>
      </c>
      <c r="N50" s="33">
        <v>14043</v>
      </c>
      <c r="O50" s="33">
        <v>13863</v>
      </c>
      <c r="P50" s="33">
        <v>17536</v>
      </c>
      <c r="Q50" s="33">
        <v>17710</v>
      </c>
    </row>
    <row r="51" spans="2:18" ht="12" customHeight="1" x14ac:dyDescent="0.35">
      <c r="B51" s="137"/>
      <c r="C51" s="166" t="s">
        <v>88</v>
      </c>
      <c r="D51" s="137" t="s">
        <v>20</v>
      </c>
      <c r="E51" s="166"/>
      <c r="F51" s="137" t="s">
        <v>86</v>
      </c>
      <c r="G51" s="166"/>
      <c r="H51" s="126">
        <v>5718</v>
      </c>
      <c r="I51" s="90">
        <v>5929</v>
      </c>
      <c r="J51" s="90">
        <v>6175</v>
      </c>
      <c r="K51" s="90">
        <v>6316</v>
      </c>
      <c r="L51" s="43">
        <v>5601</v>
      </c>
      <c r="M51" s="43">
        <v>4963</v>
      </c>
      <c r="N51" s="43">
        <v>5170</v>
      </c>
      <c r="O51" s="43">
        <v>4882</v>
      </c>
      <c r="P51" s="43">
        <v>5592</v>
      </c>
      <c r="Q51" s="43">
        <v>5254</v>
      </c>
    </row>
    <row r="52" spans="2:18" ht="12" customHeight="1" x14ac:dyDescent="0.35">
      <c r="B52" s="130" t="s">
        <v>16</v>
      </c>
      <c r="C52" s="130"/>
      <c r="D52" s="130"/>
      <c r="E52" s="130"/>
      <c r="F52" s="130" t="s">
        <v>86</v>
      </c>
      <c r="G52" s="130"/>
      <c r="H52" s="119">
        <f t="shared" ref="H52:M52" si="3">SUM(H49:H50)</f>
        <v>90649</v>
      </c>
      <c r="I52" s="86">
        <f t="shared" si="3"/>
        <v>93405</v>
      </c>
      <c r="J52" s="86">
        <f t="shared" si="3"/>
        <v>101438</v>
      </c>
      <c r="K52" s="86">
        <f t="shared" si="3"/>
        <v>89191</v>
      </c>
      <c r="L52" s="35">
        <f t="shared" si="3"/>
        <v>77462</v>
      </c>
      <c r="M52" s="35">
        <f t="shared" si="3"/>
        <v>74645</v>
      </c>
      <c r="N52" s="35">
        <f t="shared" ref="N52:Q52" si="4">SUM(N49:N50)</f>
        <v>72663</v>
      </c>
      <c r="O52" s="35">
        <f t="shared" si="4"/>
        <v>67161</v>
      </c>
      <c r="P52" s="35">
        <f t="shared" si="4"/>
        <v>76502</v>
      </c>
      <c r="Q52" s="35">
        <f t="shared" si="4"/>
        <v>77774</v>
      </c>
    </row>
    <row r="53" spans="2:18" ht="12.65" customHeight="1" x14ac:dyDescent="0.35">
      <c r="B53" s="143"/>
      <c r="C53" s="143"/>
      <c r="D53" s="143"/>
      <c r="E53" s="143"/>
      <c r="F53" s="143"/>
      <c r="G53" s="143"/>
      <c r="H53" s="116"/>
      <c r="I53" s="84"/>
      <c r="J53" s="84"/>
      <c r="K53" s="84"/>
      <c r="L53" s="39"/>
      <c r="M53" s="39"/>
      <c r="N53" s="39"/>
      <c r="O53" s="39"/>
      <c r="P53" s="39"/>
      <c r="Q53" s="39"/>
    </row>
    <row r="54" spans="2:18" ht="12" customHeight="1" x14ac:dyDescent="0.35">
      <c r="B54" s="145" t="s">
        <v>89</v>
      </c>
      <c r="C54" s="145"/>
      <c r="D54" s="144"/>
      <c r="E54" s="144"/>
      <c r="F54" s="144"/>
      <c r="G54" s="144"/>
      <c r="H54" s="169"/>
      <c r="I54" s="73"/>
      <c r="J54" s="73"/>
      <c r="K54" s="73"/>
      <c r="L54" s="8"/>
      <c r="M54" s="8"/>
      <c r="R54" s="49"/>
    </row>
    <row r="55" spans="2:18" ht="12" customHeight="1" x14ac:dyDescent="0.35">
      <c r="B55" s="124" t="s">
        <v>90</v>
      </c>
      <c r="C55" s="124"/>
      <c r="D55" s="124" t="s">
        <v>7</v>
      </c>
      <c r="E55" s="124"/>
      <c r="F55" s="124" t="s">
        <v>66</v>
      </c>
      <c r="G55" s="124"/>
      <c r="H55" s="123">
        <v>0.86</v>
      </c>
      <c r="I55" s="122">
        <v>0.85</v>
      </c>
      <c r="J55" s="122">
        <v>0.85</v>
      </c>
      <c r="K55" s="122">
        <v>0.84</v>
      </c>
      <c r="L55" s="121">
        <v>0.86</v>
      </c>
      <c r="M55" s="121">
        <v>0.83</v>
      </c>
      <c r="N55" s="121">
        <v>0.8</v>
      </c>
      <c r="O55" s="37" t="s">
        <v>23</v>
      </c>
      <c r="P55" s="37" t="s">
        <v>23</v>
      </c>
      <c r="Q55" s="37" t="s">
        <v>23</v>
      </c>
      <c r="R55" s="49"/>
    </row>
    <row r="56" spans="2:18" ht="12" customHeight="1" x14ac:dyDescent="0.35">
      <c r="B56" s="124" t="s">
        <v>91</v>
      </c>
      <c r="C56" s="124"/>
      <c r="D56" s="124" t="s">
        <v>7</v>
      </c>
      <c r="E56" s="124"/>
      <c r="F56" s="124" t="s">
        <v>66</v>
      </c>
      <c r="G56" s="124"/>
      <c r="H56" s="123">
        <v>0.86</v>
      </c>
      <c r="I56" s="122">
        <v>0.85</v>
      </c>
      <c r="J56" s="122">
        <v>0.85</v>
      </c>
      <c r="K56" s="122">
        <v>0.82</v>
      </c>
      <c r="L56" s="121">
        <v>0.82</v>
      </c>
      <c r="M56" s="121">
        <v>0.8</v>
      </c>
      <c r="N56" s="121">
        <v>0.77</v>
      </c>
      <c r="O56" s="37" t="s">
        <v>23</v>
      </c>
      <c r="P56" s="37" t="s">
        <v>23</v>
      </c>
      <c r="Q56" s="37" t="s">
        <v>23</v>
      </c>
      <c r="R56" s="49"/>
    </row>
    <row r="57" spans="2:18" ht="12" customHeight="1" x14ac:dyDescent="0.35">
      <c r="B57" s="143"/>
      <c r="C57" s="143"/>
      <c r="D57" s="143"/>
      <c r="E57" s="143"/>
      <c r="F57" s="143"/>
      <c r="G57" s="143"/>
      <c r="H57" s="116"/>
      <c r="I57" s="84"/>
      <c r="J57" s="84"/>
      <c r="K57" s="84"/>
      <c r="L57" s="39"/>
      <c r="M57" s="39"/>
      <c r="N57" s="39"/>
      <c r="O57" s="39"/>
      <c r="P57" s="39"/>
      <c r="Q57" s="39"/>
    </row>
    <row r="58" spans="2:18" ht="12" customHeight="1" x14ac:dyDescent="0.35">
      <c r="B58" s="145" t="s">
        <v>92</v>
      </c>
      <c r="C58" s="145"/>
      <c r="D58" s="144"/>
      <c r="E58" s="144"/>
      <c r="F58" s="144"/>
      <c r="G58" s="144"/>
      <c r="H58" s="169"/>
      <c r="I58" s="73"/>
      <c r="J58" s="73"/>
      <c r="K58" s="73"/>
      <c r="L58" s="8"/>
      <c r="M58" s="8"/>
      <c r="R58" s="49"/>
    </row>
    <row r="59" spans="2:18" ht="12" customHeight="1" x14ac:dyDescent="0.35">
      <c r="B59" s="124" t="s">
        <v>93</v>
      </c>
      <c r="C59" s="124"/>
      <c r="D59" s="124" t="s">
        <v>7</v>
      </c>
      <c r="E59" s="124"/>
      <c r="F59" s="124" t="s">
        <v>94</v>
      </c>
      <c r="G59" s="124"/>
      <c r="H59" s="185" t="s">
        <v>95</v>
      </c>
      <c r="I59" s="100" t="s">
        <v>96</v>
      </c>
      <c r="J59" s="100" t="s">
        <v>97</v>
      </c>
      <c r="K59" s="100" t="s">
        <v>98</v>
      </c>
      <c r="L59" s="100" t="s">
        <v>98</v>
      </c>
      <c r="M59" s="37" t="s">
        <v>23</v>
      </c>
      <c r="N59" s="37" t="s">
        <v>23</v>
      </c>
      <c r="O59" s="37" t="s">
        <v>23</v>
      </c>
      <c r="P59" s="37" t="s">
        <v>23</v>
      </c>
      <c r="Q59" s="37" t="s">
        <v>23</v>
      </c>
      <c r="R59" s="49"/>
    </row>
    <row r="60" spans="2:18" ht="12" customHeight="1" x14ac:dyDescent="0.35">
      <c r="B60" s="124" t="s">
        <v>99</v>
      </c>
      <c r="C60" s="124"/>
      <c r="D60" s="124" t="s">
        <v>7</v>
      </c>
      <c r="E60" s="124"/>
      <c r="F60" s="124" t="s">
        <v>94</v>
      </c>
      <c r="G60" s="124"/>
      <c r="H60" s="185" t="s">
        <v>100</v>
      </c>
      <c r="I60" s="100" t="s">
        <v>101</v>
      </c>
      <c r="J60" s="100" t="s">
        <v>102</v>
      </c>
      <c r="K60" s="100" t="s">
        <v>103</v>
      </c>
      <c r="L60" s="100" t="s">
        <v>104</v>
      </c>
      <c r="M60" s="37" t="s">
        <v>23</v>
      </c>
      <c r="N60" s="37" t="s">
        <v>23</v>
      </c>
      <c r="O60" s="37" t="s">
        <v>23</v>
      </c>
      <c r="P60" s="37" t="s">
        <v>23</v>
      </c>
      <c r="Q60" s="37" t="s">
        <v>23</v>
      </c>
      <c r="R60" s="49"/>
    </row>
    <row r="61" spans="2:18" ht="12" customHeight="1" x14ac:dyDescent="0.35">
      <c r="B61" s="124" t="s">
        <v>105</v>
      </c>
      <c r="C61" s="124"/>
      <c r="D61" s="124" t="s">
        <v>7</v>
      </c>
      <c r="E61" s="124"/>
      <c r="F61" s="124" t="s">
        <v>94</v>
      </c>
      <c r="G61" s="124"/>
      <c r="H61" s="185" t="s">
        <v>106</v>
      </c>
      <c r="I61" s="100" t="s">
        <v>107</v>
      </c>
      <c r="J61" s="100" t="s">
        <v>108</v>
      </c>
      <c r="K61" s="100" t="s">
        <v>106</v>
      </c>
      <c r="L61" s="100" t="s">
        <v>109</v>
      </c>
      <c r="M61" s="37" t="s">
        <v>23</v>
      </c>
      <c r="N61" s="37" t="s">
        <v>23</v>
      </c>
      <c r="O61" s="37" t="s">
        <v>23</v>
      </c>
      <c r="P61" s="37" t="s">
        <v>23</v>
      </c>
      <c r="Q61" s="37" t="s">
        <v>23</v>
      </c>
      <c r="R61" s="49"/>
    </row>
    <row r="62" spans="2:18" ht="12" customHeight="1" x14ac:dyDescent="0.35">
      <c r="B62" s="124" t="s">
        <v>110</v>
      </c>
      <c r="C62" s="124"/>
      <c r="D62" s="124" t="s">
        <v>7</v>
      </c>
      <c r="E62" s="124"/>
      <c r="F62" s="124" t="s">
        <v>94</v>
      </c>
      <c r="G62" s="124"/>
      <c r="H62" s="185" t="s">
        <v>111</v>
      </c>
      <c r="I62" s="100" t="s">
        <v>112</v>
      </c>
      <c r="J62" s="100" t="s">
        <v>113</v>
      </c>
      <c r="K62" s="100" t="s">
        <v>111</v>
      </c>
      <c r="L62" s="100" t="s">
        <v>114</v>
      </c>
      <c r="M62" s="37" t="s">
        <v>23</v>
      </c>
      <c r="N62" s="37" t="s">
        <v>23</v>
      </c>
      <c r="O62" s="37" t="s">
        <v>23</v>
      </c>
      <c r="P62" s="37" t="s">
        <v>23</v>
      </c>
      <c r="Q62" s="37" t="s">
        <v>23</v>
      </c>
      <c r="R62" s="49"/>
    </row>
    <row r="63" spans="2:18" ht="11.25" customHeight="1" x14ac:dyDescent="0.35">
      <c r="B63" s="143"/>
      <c r="C63" s="143"/>
      <c r="D63" s="143"/>
      <c r="E63" s="143"/>
      <c r="F63" s="143"/>
      <c r="G63" s="143"/>
      <c r="H63" s="186"/>
      <c r="I63" s="109"/>
      <c r="J63" s="109"/>
      <c r="K63" s="109"/>
      <c r="L63" s="109"/>
      <c r="M63" s="47"/>
      <c r="N63" s="47"/>
      <c r="O63" s="47"/>
      <c r="P63" s="47"/>
      <c r="Q63" s="47"/>
      <c r="R63" s="49"/>
    </row>
    <row r="64" spans="2:18" ht="12" customHeight="1" x14ac:dyDescent="0.35">
      <c r="B64" s="145" t="s">
        <v>168</v>
      </c>
      <c r="C64" s="145"/>
      <c r="D64" s="144"/>
      <c r="E64" s="144"/>
      <c r="F64" s="144"/>
      <c r="G64" s="144"/>
      <c r="H64" s="169"/>
      <c r="I64" s="73"/>
      <c r="J64" s="73"/>
      <c r="K64" s="73"/>
      <c r="L64" s="8"/>
      <c r="M64" s="8"/>
      <c r="R64" s="49"/>
    </row>
    <row r="65" spans="2:18" ht="12" customHeight="1" x14ac:dyDescent="0.35">
      <c r="B65" s="124" t="s">
        <v>169</v>
      </c>
      <c r="C65" s="124"/>
      <c r="D65" s="124" t="s">
        <v>7</v>
      </c>
      <c r="E65" s="124"/>
      <c r="F65" s="124" t="s">
        <v>66</v>
      </c>
      <c r="G65" s="124"/>
      <c r="H65" s="187">
        <v>0.32</v>
      </c>
      <c r="I65" s="110">
        <v>0.31</v>
      </c>
      <c r="J65" s="110">
        <v>0.28999999999999998</v>
      </c>
      <c r="K65" s="100" t="s">
        <v>23</v>
      </c>
      <c r="L65" s="100" t="s">
        <v>23</v>
      </c>
      <c r="M65" s="37" t="s">
        <v>23</v>
      </c>
      <c r="N65" s="37" t="s">
        <v>23</v>
      </c>
      <c r="O65" s="37" t="s">
        <v>23</v>
      </c>
      <c r="P65" s="37" t="s">
        <v>23</v>
      </c>
      <c r="Q65" s="37" t="s">
        <v>23</v>
      </c>
      <c r="R65" s="49"/>
    </row>
    <row r="66" spans="2:18" ht="12" customHeight="1" x14ac:dyDescent="0.35">
      <c r="B66" s="143"/>
      <c r="C66" s="143"/>
      <c r="D66" s="143"/>
      <c r="E66" s="143"/>
      <c r="F66" s="143"/>
      <c r="G66" s="143"/>
      <c r="H66" s="188"/>
      <c r="I66" s="111"/>
      <c r="J66" s="111"/>
      <c r="K66" s="109"/>
      <c r="L66" s="109"/>
      <c r="M66" s="47"/>
      <c r="N66" s="47"/>
      <c r="O66" s="47"/>
      <c r="P66" s="47"/>
      <c r="Q66" s="47"/>
      <c r="R66" s="49"/>
    </row>
    <row r="67" spans="2:18" ht="12" customHeight="1" x14ac:dyDescent="0.35">
      <c r="B67" s="145" t="s">
        <v>170</v>
      </c>
      <c r="C67" s="145"/>
      <c r="D67" s="144"/>
      <c r="E67" s="144"/>
      <c r="F67" s="144"/>
      <c r="G67" s="144"/>
      <c r="H67" s="169"/>
      <c r="I67" s="73"/>
      <c r="J67" s="73"/>
      <c r="K67" s="73"/>
      <c r="L67" s="8"/>
      <c r="M67" s="8"/>
      <c r="R67" s="49"/>
    </row>
    <row r="68" spans="2:18" ht="12" customHeight="1" x14ac:dyDescent="0.35">
      <c r="B68" s="124" t="s">
        <v>171</v>
      </c>
      <c r="C68" s="124"/>
      <c r="D68" s="124" t="s">
        <v>7</v>
      </c>
      <c r="E68" s="124"/>
      <c r="F68" s="124" t="s">
        <v>66</v>
      </c>
      <c r="G68" s="124"/>
      <c r="H68" s="187">
        <v>1</v>
      </c>
      <c r="I68" s="110" t="s">
        <v>23</v>
      </c>
      <c r="J68" s="110" t="s">
        <v>23</v>
      </c>
      <c r="K68" s="100" t="s">
        <v>23</v>
      </c>
      <c r="L68" s="100" t="s">
        <v>23</v>
      </c>
      <c r="M68" s="37" t="s">
        <v>23</v>
      </c>
      <c r="N68" s="37" t="s">
        <v>23</v>
      </c>
      <c r="O68" s="37" t="s">
        <v>23</v>
      </c>
      <c r="P68" s="37" t="s">
        <v>23</v>
      </c>
      <c r="Q68" s="37" t="s">
        <v>23</v>
      </c>
      <c r="R68" s="49"/>
    </row>
    <row r="69" spans="2:18" ht="12" customHeight="1" x14ac:dyDescent="0.35">
      <c r="B69" s="143"/>
      <c r="C69" s="143"/>
      <c r="D69" s="143"/>
      <c r="E69" s="143"/>
      <c r="F69" s="143"/>
      <c r="G69" s="143"/>
      <c r="H69" s="116"/>
      <c r="I69" s="84"/>
      <c r="J69" s="84"/>
      <c r="K69" s="84"/>
      <c r="L69" s="39"/>
      <c r="M69" s="39"/>
      <c r="N69" s="39"/>
      <c r="O69" s="39"/>
      <c r="P69" s="39"/>
      <c r="Q69" s="39"/>
    </row>
    <row r="70" spans="2:18" ht="12" customHeight="1" x14ac:dyDescent="0.35">
      <c r="B70" s="147" t="s">
        <v>115</v>
      </c>
      <c r="C70" s="147"/>
      <c r="D70" s="167"/>
      <c r="E70" s="167"/>
      <c r="F70" s="167"/>
      <c r="G70" s="167"/>
      <c r="H70" s="168"/>
      <c r="I70" s="76"/>
      <c r="J70" s="76"/>
      <c r="K70" s="76"/>
      <c r="L70" s="50"/>
      <c r="M70" s="50"/>
      <c r="N70" s="12"/>
      <c r="O70" s="12"/>
      <c r="P70" s="12"/>
      <c r="Q70" s="12"/>
    </row>
    <row r="71" spans="2:18" ht="12" customHeight="1" x14ac:dyDescent="0.35">
      <c r="B71" s="145"/>
      <c r="C71" s="145"/>
      <c r="D71" s="146"/>
      <c r="E71" s="146"/>
      <c r="F71" s="146"/>
      <c r="G71" s="146"/>
      <c r="H71" s="169"/>
      <c r="I71" s="73"/>
      <c r="J71" s="73"/>
      <c r="K71" s="73"/>
      <c r="L71" s="8"/>
      <c r="M71" s="8"/>
    </row>
    <row r="72" spans="2:18" ht="12" customHeight="1" x14ac:dyDescent="0.35">
      <c r="B72" s="145" t="s">
        <v>116</v>
      </c>
      <c r="C72" s="145"/>
      <c r="D72" s="146"/>
      <c r="E72" s="146"/>
      <c r="F72" s="146"/>
      <c r="G72" s="146"/>
      <c r="H72" s="169"/>
      <c r="I72" s="73"/>
      <c r="J72" s="73"/>
      <c r="K72" s="73"/>
      <c r="L72" s="8"/>
      <c r="M72" s="8"/>
    </row>
    <row r="73" spans="2:18" ht="12" customHeight="1" x14ac:dyDescent="0.35">
      <c r="B73" s="124" t="s">
        <v>117</v>
      </c>
      <c r="C73" s="124"/>
      <c r="D73" s="124" t="s">
        <v>7</v>
      </c>
      <c r="E73" s="124"/>
      <c r="F73" s="124" t="s">
        <v>59</v>
      </c>
      <c r="G73" s="124"/>
      <c r="H73" s="189">
        <v>0</v>
      </c>
      <c r="I73" s="91">
        <v>0</v>
      </c>
      <c r="J73" s="91">
        <v>1</v>
      </c>
      <c r="K73" s="91">
        <v>0</v>
      </c>
      <c r="L73" s="44">
        <v>1</v>
      </c>
      <c r="M73" s="44">
        <v>0</v>
      </c>
      <c r="N73" s="44">
        <v>0</v>
      </c>
      <c r="O73" s="44">
        <v>0</v>
      </c>
      <c r="P73" s="44">
        <v>0</v>
      </c>
      <c r="Q73" s="44">
        <v>0</v>
      </c>
    </row>
    <row r="74" spans="2:18" ht="12" customHeight="1" x14ac:dyDescent="0.35">
      <c r="B74" s="124" t="s">
        <v>174</v>
      </c>
      <c r="C74" s="124"/>
      <c r="D74" s="124" t="s">
        <v>7</v>
      </c>
      <c r="E74" s="124"/>
      <c r="F74" s="124" t="s">
        <v>59</v>
      </c>
      <c r="G74" s="124"/>
      <c r="H74" s="189">
        <v>3</v>
      </c>
      <c r="I74" s="91">
        <v>2</v>
      </c>
      <c r="J74" s="91">
        <v>9</v>
      </c>
      <c r="K74" s="91">
        <v>8</v>
      </c>
      <c r="L74" s="44">
        <v>14</v>
      </c>
      <c r="M74" s="44">
        <v>7</v>
      </c>
      <c r="N74" s="44">
        <v>11</v>
      </c>
      <c r="O74" s="44">
        <v>14</v>
      </c>
      <c r="P74" s="44">
        <v>23</v>
      </c>
      <c r="Q74" s="44">
        <v>17</v>
      </c>
    </row>
    <row r="75" spans="2:18" ht="12" customHeight="1" x14ac:dyDescent="0.35">
      <c r="B75" s="124"/>
      <c r="C75" s="124"/>
      <c r="D75" s="124"/>
      <c r="E75" s="124"/>
      <c r="F75" s="124"/>
      <c r="G75" s="124"/>
      <c r="H75" s="189"/>
      <c r="I75" s="91"/>
      <c r="J75" s="91"/>
      <c r="K75" s="91"/>
      <c r="L75" s="44"/>
      <c r="M75" s="44"/>
      <c r="N75" s="44"/>
      <c r="O75" s="44"/>
      <c r="P75" s="44"/>
      <c r="Q75" s="44"/>
    </row>
    <row r="76" spans="2:18" ht="12" customHeight="1" x14ac:dyDescent="0.35">
      <c r="B76" s="170" t="s">
        <v>172</v>
      </c>
      <c r="C76" s="124"/>
      <c r="D76" s="124"/>
      <c r="E76" s="124"/>
      <c r="F76" s="124"/>
      <c r="G76" s="124"/>
      <c r="H76" s="189"/>
      <c r="I76" s="91"/>
      <c r="J76" s="91"/>
      <c r="K76" s="91"/>
      <c r="L76" s="44"/>
      <c r="M76" s="44"/>
      <c r="N76" s="44"/>
      <c r="O76" s="44"/>
      <c r="P76" s="44"/>
      <c r="Q76" s="44"/>
      <c r="R76" s="49"/>
    </row>
    <row r="77" spans="2:18" ht="12" customHeight="1" x14ac:dyDescent="0.35">
      <c r="B77" s="124" t="s">
        <v>117</v>
      </c>
      <c r="C77" s="124"/>
      <c r="D77" s="124" t="s">
        <v>7</v>
      </c>
      <c r="E77" s="124"/>
      <c r="F77" s="124" t="s">
        <v>59</v>
      </c>
      <c r="G77" s="124"/>
      <c r="H77" s="189">
        <v>31</v>
      </c>
      <c r="I77" s="91">
        <v>28</v>
      </c>
      <c r="J77" s="91">
        <v>53</v>
      </c>
      <c r="K77" s="91">
        <v>96</v>
      </c>
      <c r="L77" s="44">
        <v>77</v>
      </c>
      <c r="M77" s="44">
        <v>90</v>
      </c>
      <c r="N77" s="44">
        <v>180</v>
      </c>
      <c r="O77" s="44">
        <v>143</v>
      </c>
      <c r="P77" s="44" t="s">
        <v>23</v>
      </c>
      <c r="Q77" s="44" t="s">
        <v>23</v>
      </c>
    </row>
    <row r="78" spans="2:18" ht="12" customHeight="1" x14ac:dyDescent="0.35">
      <c r="B78" s="124" t="s">
        <v>173</v>
      </c>
      <c r="C78" s="124"/>
      <c r="D78" s="124" t="s">
        <v>7</v>
      </c>
      <c r="E78" s="124"/>
      <c r="F78" s="124" t="s">
        <v>59</v>
      </c>
      <c r="G78" s="124"/>
      <c r="H78" s="189">
        <f>7+22</f>
        <v>29</v>
      </c>
      <c r="I78" s="91">
        <v>44</v>
      </c>
      <c r="J78" s="91">
        <v>43</v>
      </c>
      <c r="K78" s="91">
        <v>30</v>
      </c>
      <c r="L78" s="44">
        <v>66</v>
      </c>
      <c r="M78" s="44">
        <v>44</v>
      </c>
      <c r="N78" s="44">
        <v>87</v>
      </c>
      <c r="O78" s="44">
        <v>61</v>
      </c>
      <c r="P78" s="44" t="s">
        <v>23</v>
      </c>
      <c r="Q78" s="44" t="s">
        <v>23</v>
      </c>
    </row>
    <row r="79" spans="2:18" ht="12" customHeight="1" x14ac:dyDescent="0.35">
      <c r="B79" s="145"/>
      <c r="C79" s="143"/>
      <c r="D79" s="143"/>
      <c r="E79" s="143"/>
      <c r="F79" s="143"/>
      <c r="G79" s="143"/>
      <c r="H79" s="190"/>
      <c r="I79" s="92"/>
      <c r="J79" s="92"/>
      <c r="K79" s="92"/>
      <c r="L79" s="171"/>
      <c r="M79" s="171"/>
      <c r="N79" s="171"/>
      <c r="O79" s="171"/>
      <c r="P79" s="171"/>
      <c r="Q79" s="171"/>
    </row>
    <row r="80" spans="2:18" ht="12" customHeight="1" x14ac:dyDescent="0.35">
      <c r="B80" s="170" t="s">
        <v>175</v>
      </c>
      <c r="C80" s="124"/>
      <c r="D80" s="124"/>
      <c r="E80" s="124"/>
      <c r="F80" s="124"/>
      <c r="G80" s="124"/>
      <c r="H80" s="189"/>
      <c r="I80" s="91"/>
      <c r="J80" s="91"/>
      <c r="K80" s="91"/>
      <c r="L80" s="44"/>
      <c r="M80" s="44"/>
      <c r="N80" s="44"/>
      <c r="O80" s="44"/>
      <c r="P80" s="44"/>
      <c r="Q80" s="44"/>
      <c r="R80" s="49"/>
    </row>
    <row r="81" spans="2:19" ht="12" customHeight="1" x14ac:dyDescent="0.35">
      <c r="B81" s="124" t="s">
        <v>117</v>
      </c>
      <c r="C81" s="124"/>
      <c r="D81" s="124" t="s">
        <v>7</v>
      </c>
      <c r="E81" s="124"/>
      <c r="F81" s="124" t="s">
        <v>59</v>
      </c>
      <c r="G81" s="124"/>
      <c r="H81" s="189">
        <v>54</v>
      </c>
      <c r="I81" s="91">
        <v>58</v>
      </c>
      <c r="J81" s="112" t="s">
        <v>23</v>
      </c>
      <c r="K81" s="112" t="s">
        <v>23</v>
      </c>
      <c r="L81" s="113" t="s">
        <v>23</v>
      </c>
      <c r="M81" s="113" t="s">
        <v>23</v>
      </c>
      <c r="N81" s="113" t="s">
        <v>23</v>
      </c>
      <c r="O81" s="113" t="s">
        <v>23</v>
      </c>
      <c r="P81" s="113" t="s">
        <v>23</v>
      </c>
      <c r="Q81" s="113" t="s">
        <v>23</v>
      </c>
    </row>
    <row r="82" spans="2:19" ht="12" customHeight="1" x14ac:dyDescent="0.35">
      <c r="B82" s="124" t="s">
        <v>173</v>
      </c>
      <c r="C82" s="124"/>
      <c r="D82" s="124" t="s">
        <v>7</v>
      </c>
      <c r="E82" s="124"/>
      <c r="F82" s="124" t="s">
        <v>59</v>
      </c>
      <c r="G82" s="124"/>
      <c r="H82" s="189">
        <f>8+44</f>
        <v>52</v>
      </c>
      <c r="I82" s="91">
        <v>56</v>
      </c>
      <c r="J82" s="112" t="s">
        <v>23</v>
      </c>
      <c r="K82" s="112" t="s">
        <v>23</v>
      </c>
      <c r="L82" s="113" t="s">
        <v>23</v>
      </c>
      <c r="M82" s="113" t="s">
        <v>23</v>
      </c>
      <c r="N82" s="113" t="s">
        <v>23</v>
      </c>
      <c r="O82" s="113" t="s">
        <v>23</v>
      </c>
      <c r="P82" s="113" t="s">
        <v>23</v>
      </c>
      <c r="Q82" s="113" t="s">
        <v>23</v>
      </c>
    </row>
    <row r="83" spans="2:19" ht="12" customHeight="1" x14ac:dyDescent="0.35">
      <c r="B83" s="170"/>
      <c r="C83" s="124"/>
      <c r="D83" s="124"/>
      <c r="E83" s="124"/>
      <c r="F83" s="124"/>
      <c r="G83" s="124"/>
      <c r="H83" s="189"/>
      <c r="I83" s="91"/>
      <c r="J83" s="91"/>
      <c r="K83" s="91"/>
      <c r="L83" s="44"/>
      <c r="M83" s="44"/>
      <c r="N83" s="44"/>
      <c r="O83" s="44"/>
      <c r="P83" s="44"/>
      <c r="Q83" s="44"/>
    </row>
    <row r="84" spans="2:19" ht="12" customHeight="1" x14ac:dyDescent="0.35">
      <c r="B84" s="170" t="s">
        <v>118</v>
      </c>
      <c r="C84" s="124"/>
      <c r="D84" s="124" t="s">
        <v>7</v>
      </c>
      <c r="E84" s="124"/>
      <c r="F84" s="124" t="s">
        <v>119</v>
      </c>
      <c r="G84" s="124"/>
      <c r="H84" s="191" t="s">
        <v>23</v>
      </c>
      <c r="I84" s="98" t="s">
        <v>23</v>
      </c>
      <c r="J84" s="98">
        <v>0</v>
      </c>
      <c r="K84" s="98" t="s">
        <v>23</v>
      </c>
      <c r="L84" s="99">
        <v>0</v>
      </c>
      <c r="M84" s="44" t="s">
        <v>23</v>
      </c>
      <c r="N84" s="44" t="s">
        <v>23</v>
      </c>
      <c r="O84" s="44" t="s">
        <v>23</v>
      </c>
      <c r="P84" s="44" t="s">
        <v>23</v>
      </c>
      <c r="Q84" s="44" t="s">
        <v>23</v>
      </c>
      <c r="R84" s="49"/>
    </row>
    <row r="85" spans="2:19" ht="12" customHeight="1" x14ac:dyDescent="0.35">
      <c r="B85" s="124" t="s">
        <v>178</v>
      </c>
      <c r="C85" s="124"/>
      <c r="D85" s="124" t="s">
        <v>7</v>
      </c>
      <c r="E85" s="124"/>
      <c r="F85" s="124" t="s">
        <v>176</v>
      </c>
      <c r="G85" s="124"/>
      <c r="H85" s="192">
        <v>0.17</v>
      </c>
      <c r="I85" s="99">
        <v>0.14000000000000001</v>
      </c>
      <c r="J85" s="99">
        <v>0.26</v>
      </c>
      <c r="K85" s="99">
        <v>0.44</v>
      </c>
      <c r="L85" s="99">
        <v>0.35</v>
      </c>
      <c r="M85" s="44" t="s">
        <v>23</v>
      </c>
      <c r="N85" s="44" t="s">
        <v>23</v>
      </c>
      <c r="O85" s="44" t="s">
        <v>23</v>
      </c>
      <c r="P85" s="44" t="s">
        <v>23</v>
      </c>
      <c r="Q85" s="44" t="s">
        <v>23</v>
      </c>
      <c r="R85" s="49"/>
    </row>
    <row r="86" spans="2:19" ht="12" customHeight="1" x14ac:dyDescent="0.35">
      <c r="B86" s="124" t="s">
        <v>177</v>
      </c>
      <c r="C86" s="124"/>
      <c r="D86" s="124" t="s">
        <v>7</v>
      </c>
      <c r="E86" s="124"/>
      <c r="F86" s="124" t="s">
        <v>176</v>
      </c>
      <c r="G86" s="124"/>
      <c r="H86" s="192" t="s">
        <v>179</v>
      </c>
      <c r="I86" s="99" t="s">
        <v>179</v>
      </c>
      <c r="J86" s="172" t="s">
        <v>23</v>
      </c>
      <c r="K86" s="172" t="s">
        <v>23</v>
      </c>
      <c r="L86" s="172" t="s">
        <v>23</v>
      </c>
      <c r="M86" s="113" t="s">
        <v>23</v>
      </c>
      <c r="N86" s="113" t="s">
        <v>23</v>
      </c>
      <c r="O86" s="113" t="s">
        <v>23</v>
      </c>
      <c r="P86" s="113" t="s">
        <v>23</v>
      </c>
      <c r="Q86" s="113" t="s">
        <v>23</v>
      </c>
      <c r="R86" s="49"/>
    </row>
    <row r="87" spans="2:19" ht="12" customHeight="1" x14ac:dyDescent="0.35">
      <c r="B87" s="143"/>
      <c r="C87" s="143"/>
      <c r="D87" s="144"/>
      <c r="E87" s="144"/>
      <c r="F87" s="144"/>
      <c r="G87" s="144"/>
      <c r="H87" s="169"/>
      <c r="I87" s="73"/>
      <c r="J87" s="73"/>
      <c r="K87" s="73"/>
      <c r="L87" s="8"/>
      <c r="M87" s="8"/>
    </row>
    <row r="88" spans="2:19" ht="12" customHeight="1" x14ac:dyDescent="0.35">
      <c r="B88" s="147" t="s">
        <v>120</v>
      </c>
      <c r="C88" s="147"/>
      <c r="D88" s="167"/>
      <c r="E88" s="167"/>
      <c r="F88" s="167"/>
      <c r="G88" s="167"/>
      <c r="H88" s="117"/>
      <c r="I88" s="67"/>
      <c r="J88" s="67"/>
      <c r="K88" s="67"/>
      <c r="L88" s="12"/>
      <c r="M88" s="12"/>
      <c r="N88" s="12"/>
      <c r="O88" s="12"/>
      <c r="P88" s="12"/>
      <c r="Q88" s="12"/>
    </row>
    <row r="89" spans="2:19" ht="12" customHeight="1" x14ac:dyDescent="0.35">
      <c r="B89" s="145"/>
      <c r="C89" s="145"/>
      <c r="D89" s="146"/>
      <c r="E89" s="146"/>
      <c r="F89" s="146"/>
      <c r="G89" s="146"/>
      <c r="I89" s="93"/>
      <c r="J89" s="93"/>
      <c r="K89" s="93"/>
    </row>
    <row r="90" spans="2:19" ht="12" customHeight="1" x14ac:dyDescent="0.35">
      <c r="B90" s="131" t="s">
        <v>121</v>
      </c>
      <c r="C90" s="130"/>
      <c r="D90" s="133"/>
      <c r="E90" s="133"/>
      <c r="F90" s="133"/>
      <c r="G90" s="133"/>
      <c r="H90" s="165"/>
      <c r="I90" s="94"/>
      <c r="J90" s="94"/>
      <c r="K90" s="94"/>
      <c r="L90" s="40"/>
      <c r="M90" s="40"/>
      <c r="N90" s="40"/>
      <c r="O90" s="40"/>
      <c r="P90" s="40"/>
      <c r="Q90" s="40"/>
    </row>
    <row r="91" spans="2:19" ht="12" customHeight="1" x14ac:dyDescent="0.35">
      <c r="B91" s="130" t="s">
        <v>122</v>
      </c>
      <c r="C91" s="130"/>
      <c r="D91" s="133" t="s">
        <v>7</v>
      </c>
      <c r="E91" s="133"/>
      <c r="F91" s="133" t="s">
        <v>59</v>
      </c>
      <c r="G91" s="133"/>
      <c r="H91" s="53">
        <v>316</v>
      </c>
      <c r="I91" s="71">
        <v>266</v>
      </c>
      <c r="J91" s="71">
        <v>252</v>
      </c>
      <c r="K91" s="71">
        <v>235</v>
      </c>
      <c r="L91" s="45">
        <v>286</v>
      </c>
      <c r="M91" s="45">
        <v>321</v>
      </c>
      <c r="N91" s="45">
        <v>262</v>
      </c>
      <c r="O91" s="45">
        <v>362</v>
      </c>
      <c r="P91" s="45">
        <v>593</v>
      </c>
      <c r="Q91" s="45">
        <v>350</v>
      </c>
    </row>
    <row r="92" spans="2:19" ht="12" customHeight="1" x14ac:dyDescent="0.35">
      <c r="B92" s="130" t="s">
        <v>123</v>
      </c>
      <c r="C92" s="130"/>
      <c r="D92" s="133" t="s">
        <v>7</v>
      </c>
      <c r="E92" s="133"/>
      <c r="F92" s="133" t="s">
        <v>59</v>
      </c>
      <c r="G92" s="133"/>
      <c r="H92" s="53">
        <v>922</v>
      </c>
      <c r="I92" s="71">
        <v>813</v>
      </c>
      <c r="J92" s="71">
        <v>636</v>
      </c>
      <c r="K92" s="71">
        <v>435</v>
      </c>
      <c r="L92" s="45">
        <v>432</v>
      </c>
      <c r="M92" s="45">
        <v>480</v>
      </c>
      <c r="N92" s="45">
        <v>358</v>
      </c>
      <c r="O92" s="45">
        <v>199</v>
      </c>
      <c r="P92" s="45">
        <v>210</v>
      </c>
      <c r="Q92" s="45">
        <v>209</v>
      </c>
    </row>
    <row r="93" spans="2:19" ht="12" customHeight="1" x14ac:dyDescent="0.35">
      <c r="B93" s="137" t="s">
        <v>124</v>
      </c>
      <c r="C93" s="137"/>
      <c r="D93" s="139" t="s">
        <v>7</v>
      </c>
      <c r="E93" s="139"/>
      <c r="F93" s="139" t="s">
        <v>59</v>
      </c>
      <c r="G93" s="139"/>
      <c r="H93" s="128">
        <v>6</v>
      </c>
      <c r="I93" s="75">
        <v>2</v>
      </c>
      <c r="J93" s="75">
        <v>7</v>
      </c>
      <c r="K93" s="75">
        <v>13</v>
      </c>
      <c r="L93" s="46">
        <v>4</v>
      </c>
      <c r="M93" s="46">
        <v>27</v>
      </c>
      <c r="N93" s="46">
        <v>31</v>
      </c>
      <c r="O93" s="46">
        <v>26</v>
      </c>
      <c r="P93" s="46">
        <v>43</v>
      </c>
      <c r="Q93" s="46">
        <v>45</v>
      </c>
    </row>
    <row r="94" spans="2:19" ht="12" customHeight="1" x14ac:dyDescent="0.35">
      <c r="B94" s="130" t="s">
        <v>16</v>
      </c>
      <c r="C94" s="130"/>
      <c r="D94" s="133"/>
      <c r="E94" s="133"/>
      <c r="F94" s="133" t="s">
        <v>59</v>
      </c>
      <c r="G94" s="133"/>
      <c r="H94" s="53">
        <f>SUM(H91:H93)</f>
        <v>1244</v>
      </c>
      <c r="I94" s="71">
        <f>SUM(I91:I93)</f>
        <v>1081</v>
      </c>
      <c r="J94" s="71">
        <f>SUM(J91:J93)</f>
        <v>895</v>
      </c>
      <c r="K94" s="71">
        <f>SUM(K91:K93)</f>
        <v>683</v>
      </c>
      <c r="L94" s="45">
        <f t="shared" ref="L94:Q94" si="5">SUM(L91:L93)</f>
        <v>722</v>
      </c>
      <c r="M94" s="45">
        <f t="shared" si="5"/>
        <v>828</v>
      </c>
      <c r="N94" s="45">
        <f t="shared" si="5"/>
        <v>651</v>
      </c>
      <c r="O94" s="45">
        <f t="shared" si="5"/>
        <v>587</v>
      </c>
      <c r="P94" s="45">
        <f t="shared" si="5"/>
        <v>846</v>
      </c>
      <c r="Q94" s="45">
        <f t="shared" si="5"/>
        <v>604</v>
      </c>
    </row>
    <row r="95" spans="2:19" ht="12" customHeight="1" x14ac:dyDescent="0.35">
      <c r="B95" s="143"/>
      <c r="C95" s="143"/>
      <c r="D95" s="144"/>
      <c r="E95" s="144"/>
      <c r="F95" s="144"/>
      <c r="G95" s="144"/>
      <c r="H95" s="169"/>
      <c r="I95" s="8"/>
      <c r="J95" s="8"/>
      <c r="K95" s="8"/>
      <c r="L95" s="8"/>
      <c r="M95" s="8"/>
    </row>
    <row r="96" spans="2:19" ht="12" customHeight="1" x14ac:dyDescent="0.35">
      <c r="B96" s="143" t="s">
        <v>52</v>
      </c>
      <c r="C96" s="143"/>
      <c r="D96" s="144"/>
      <c r="E96" s="144"/>
      <c r="F96" s="144"/>
      <c r="G96" s="144"/>
      <c r="H96" s="169"/>
      <c r="I96" s="8"/>
      <c r="J96" s="8"/>
      <c r="K96" s="8"/>
      <c r="L96" s="8"/>
      <c r="M96" s="8"/>
      <c r="S96" s="63"/>
    </row>
    <row r="97" spans="2:19" ht="12" customHeight="1" x14ac:dyDescent="0.35">
      <c r="B97" s="143" t="s">
        <v>180</v>
      </c>
      <c r="C97" s="143"/>
      <c r="D97" s="144"/>
      <c r="E97" s="144"/>
      <c r="F97" s="144"/>
      <c r="G97" s="144"/>
      <c r="H97" s="169"/>
      <c r="I97" s="8"/>
      <c r="J97" s="8"/>
      <c r="K97" s="8"/>
      <c r="L97" s="8"/>
      <c r="M97" s="8"/>
      <c r="S97" s="63"/>
    </row>
    <row r="98" spans="2:19" ht="12" customHeight="1" x14ac:dyDescent="0.35">
      <c r="B98" s="143" t="s">
        <v>53</v>
      </c>
      <c r="C98" s="143"/>
      <c r="D98" s="144"/>
      <c r="E98" s="144"/>
      <c r="F98" s="144"/>
      <c r="G98" s="144"/>
      <c r="H98" s="169"/>
      <c r="I98" s="8"/>
      <c r="J98" s="8"/>
      <c r="K98" s="8"/>
      <c r="L98" s="8"/>
      <c r="M98" s="8"/>
    </row>
    <row r="99" spans="2:19" ht="12" customHeight="1" x14ac:dyDescent="0.35">
      <c r="B99" s="143" t="s">
        <v>54</v>
      </c>
      <c r="C99" s="143"/>
      <c r="D99" s="144"/>
      <c r="E99" s="144"/>
      <c r="F99" s="144"/>
      <c r="G99" s="144"/>
      <c r="H99" s="169"/>
      <c r="I99" s="8"/>
      <c r="J99" s="8"/>
      <c r="K99" s="8"/>
      <c r="L99" s="8"/>
      <c r="M99" s="8"/>
    </row>
    <row r="100" spans="2:19" ht="12" customHeight="1" x14ac:dyDescent="0.35">
      <c r="B100" s="6"/>
      <c r="C100" s="6"/>
      <c r="D100" s="3"/>
      <c r="E100" s="3"/>
      <c r="F100" s="3"/>
      <c r="G100" s="3"/>
      <c r="H100" s="25"/>
      <c r="I100" s="4"/>
      <c r="J100" s="4"/>
      <c r="K100" s="4"/>
      <c r="L100" s="4"/>
      <c r="M100" s="4"/>
    </row>
    <row r="101" spans="2:19" ht="12" customHeight="1" x14ac:dyDescent="0.35">
      <c r="B101" s="6"/>
      <c r="C101" s="6"/>
      <c r="D101" s="3"/>
      <c r="E101" s="3"/>
      <c r="F101" s="3"/>
      <c r="G101" s="3"/>
      <c r="H101" s="25"/>
      <c r="I101" s="4"/>
      <c r="J101" s="4"/>
      <c r="K101" s="4"/>
      <c r="L101" s="4"/>
      <c r="M101" s="4"/>
    </row>
    <row r="102" spans="2:19" ht="12" customHeight="1" x14ac:dyDescent="0.35">
      <c r="B102" s="6"/>
      <c r="C102" s="6"/>
      <c r="D102" s="3"/>
      <c r="E102" s="3"/>
      <c r="F102" s="3"/>
      <c r="G102" s="3"/>
      <c r="H102" s="25"/>
      <c r="I102" s="4"/>
      <c r="J102" s="4"/>
      <c r="K102" s="4"/>
      <c r="L102" s="4"/>
      <c r="M102" s="4"/>
    </row>
  </sheetData>
  <pageMargins left="0.7" right="0.7" top="0.75" bottom="0.75" header="0.3" footer="0.3"/>
  <pageSetup orientation="portrait" r:id="rId1"/>
  <customProperties>
    <customPr name="_pios_id" r:id="rId2"/>
  </customProperties>
  <ignoredErrors>
    <ignoredError sqref="M52:Q52 K52:L5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1D9A-9445-4F4B-8591-9BA26839D5CB}">
  <dimension ref="B1:S72"/>
  <sheetViews>
    <sheetView showGridLines="0" tabSelected="1" zoomScale="139" zoomScaleNormal="145" workbookViewId="0">
      <pane xSplit="7" ySplit="2" topLeftCell="H3" activePane="bottomRight" state="frozen"/>
      <selection pane="topRight" activeCell="H1" sqref="H1"/>
      <selection pane="bottomLeft" activeCell="A3" sqref="A3"/>
      <selection pane="bottomRight" activeCell="H3" sqref="H3"/>
    </sheetView>
  </sheetViews>
  <sheetFormatPr defaultColWidth="8.90625" defaultRowHeight="12" customHeight="1" x14ac:dyDescent="0.35"/>
  <cols>
    <col min="1" max="1" width="1.54296875" style="1" customWidth="1"/>
    <col min="2" max="2" width="48.453125" style="1" customWidth="1"/>
    <col min="3" max="3" width="5.54296875" style="1" bestFit="1" customWidth="1"/>
    <col min="4" max="4" width="12" style="1" bestFit="1" customWidth="1"/>
    <col min="5" max="5" width="3" style="1" customWidth="1"/>
    <col min="6" max="6" width="18.54296875" style="1" bestFit="1" customWidth="1"/>
    <col min="7" max="7" width="2.90625" style="1" customWidth="1"/>
    <col min="8" max="8" width="7.54296875" style="180" customWidth="1"/>
    <col min="9" max="17" width="7.54296875" style="5" customWidth="1"/>
    <col min="18" max="16384" width="8.90625" style="1"/>
  </cols>
  <sheetData>
    <row r="1" spans="2:17" ht="26.25" customHeight="1" x14ac:dyDescent="0.35">
      <c r="B1" s="2" t="s">
        <v>125</v>
      </c>
      <c r="C1" s="2"/>
      <c r="D1" s="2"/>
      <c r="E1" s="2"/>
      <c r="F1" s="3"/>
      <c r="G1" s="3"/>
      <c r="H1" s="25"/>
      <c r="I1" s="4"/>
      <c r="J1" s="4"/>
      <c r="K1" s="4"/>
      <c r="L1" s="4"/>
      <c r="M1" s="4"/>
    </row>
    <row r="2" spans="2:17" ht="19.649999999999999" customHeight="1" x14ac:dyDescent="0.35">
      <c r="B2" s="6"/>
      <c r="C2" s="6"/>
      <c r="D2" s="7" t="s">
        <v>1</v>
      </c>
      <c r="E2" s="7"/>
      <c r="F2" s="7" t="s">
        <v>2</v>
      </c>
      <c r="G2" s="3"/>
      <c r="H2" s="169">
        <v>2025</v>
      </c>
      <c r="I2" s="8">
        <v>2024</v>
      </c>
      <c r="J2" s="8">
        <v>2023</v>
      </c>
      <c r="K2" s="8">
        <v>2022</v>
      </c>
      <c r="L2" s="8">
        <v>2021</v>
      </c>
      <c r="M2" s="8">
        <v>2020</v>
      </c>
      <c r="N2" s="5">
        <v>2019</v>
      </c>
      <c r="O2" s="5">
        <v>2018</v>
      </c>
      <c r="P2" s="5">
        <v>2017</v>
      </c>
      <c r="Q2" s="5">
        <v>2016</v>
      </c>
    </row>
    <row r="3" spans="2:17" ht="12" customHeight="1" x14ac:dyDescent="0.35">
      <c r="B3" s="9" t="s">
        <v>126</v>
      </c>
      <c r="C3" s="9"/>
      <c r="D3" s="10"/>
      <c r="E3" s="10"/>
      <c r="F3" s="10"/>
      <c r="G3" s="11"/>
      <c r="H3" s="117"/>
      <c r="I3" s="12"/>
      <c r="J3" s="12"/>
      <c r="K3" s="12"/>
      <c r="L3" s="12"/>
      <c r="M3" s="12"/>
      <c r="N3" s="12"/>
      <c r="O3" s="12"/>
      <c r="P3" s="12"/>
      <c r="Q3" s="12"/>
    </row>
    <row r="4" spans="2:17" ht="12" customHeight="1" x14ac:dyDescent="0.35">
      <c r="B4" s="145"/>
      <c r="C4" s="145"/>
      <c r="D4" s="146"/>
      <c r="E4" s="146"/>
      <c r="F4" s="146"/>
      <c r="G4" s="144"/>
      <c r="H4" s="118"/>
      <c r="I4" s="81"/>
      <c r="J4" s="81"/>
      <c r="K4" s="81"/>
      <c r="L4" s="31"/>
      <c r="M4" s="31"/>
    </row>
    <row r="5" spans="2:17" ht="12" customHeight="1" x14ac:dyDescent="0.35">
      <c r="B5" s="124" t="s">
        <v>127</v>
      </c>
      <c r="C5" s="124"/>
      <c r="D5" s="132"/>
      <c r="E5" s="132"/>
      <c r="F5" s="132" t="s">
        <v>59</v>
      </c>
      <c r="G5" s="132"/>
      <c r="H5" s="125">
        <v>11</v>
      </c>
      <c r="I5" s="83">
        <v>9</v>
      </c>
      <c r="J5" s="83">
        <v>10</v>
      </c>
      <c r="K5" s="83">
        <v>11</v>
      </c>
      <c r="L5" s="33">
        <v>10</v>
      </c>
      <c r="M5" s="33">
        <v>10</v>
      </c>
      <c r="N5" s="20">
        <v>10</v>
      </c>
      <c r="O5" s="20">
        <v>10</v>
      </c>
      <c r="P5" s="20">
        <v>11</v>
      </c>
      <c r="Q5" s="20">
        <v>9</v>
      </c>
    </row>
    <row r="6" spans="2:17" ht="12" customHeight="1" x14ac:dyDescent="0.35">
      <c r="B6" s="137" t="s">
        <v>128</v>
      </c>
      <c r="C6" s="137"/>
      <c r="D6" s="137"/>
      <c r="E6" s="137"/>
      <c r="F6" s="137" t="s">
        <v>59</v>
      </c>
      <c r="G6" s="137"/>
      <c r="H6" s="175">
        <v>3</v>
      </c>
      <c r="I6" s="85">
        <v>3</v>
      </c>
      <c r="J6" s="85">
        <v>3</v>
      </c>
      <c r="K6" s="85">
        <v>3</v>
      </c>
      <c r="L6" s="34">
        <v>3</v>
      </c>
      <c r="M6" s="34">
        <v>3</v>
      </c>
      <c r="N6" s="22">
        <v>3</v>
      </c>
      <c r="O6" s="22">
        <v>3</v>
      </c>
      <c r="P6" s="22">
        <v>3</v>
      </c>
      <c r="Q6" s="22">
        <v>3</v>
      </c>
    </row>
    <row r="7" spans="2:17" ht="12" customHeight="1" x14ac:dyDescent="0.35">
      <c r="B7" s="130" t="s">
        <v>16</v>
      </c>
      <c r="C7" s="130"/>
      <c r="D7" s="130"/>
      <c r="E7" s="130"/>
      <c r="F7" s="130" t="s">
        <v>59</v>
      </c>
      <c r="G7" s="130"/>
      <c r="H7" s="119">
        <f t="shared" ref="H7:M7" si="0">SUM(H5:H6)</f>
        <v>14</v>
      </c>
      <c r="I7" s="86">
        <f t="shared" si="0"/>
        <v>12</v>
      </c>
      <c r="J7" s="86">
        <f t="shared" si="0"/>
        <v>13</v>
      </c>
      <c r="K7" s="86">
        <f t="shared" si="0"/>
        <v>14</v>
      </c>
      <c r="L7" s="35">
        <f t="shared" si="0"/>
        <v>13</v>
      </c>
      <c r="M7" s="35">
        <f t="shared" si="0"/>
        <v>13</v>
      </c>
      <c r="N7" s="24">
        <f t="shared" ref="N7:Q7" si="1">SUM(N5:N6)</f>
        <v>13</v>
      </c>
      <c r="O7" s="24">
        <f t="shared" si="1"/>
        <v>13</v>
      </c>
      <c r="P7" s="24">
        <f t="shared" si="1"/>
        <v>14</v>
      </c>
      <c r="Q7" s="24">
        <f t="shared" si="1"/>
        <v>12</v>
      </c>
    </row>
    <row r="8" spans="2:17" ht="12" customHeight="1" x14ac:dyDescent="0.35">
      <c r="B8" s="124"/>
      <c r="C8" s="124"/>
      <c r="D8" s="124"/>
      <c r="E8" s="124"/>
      <c r="F8" s="124"/>
      <c r="G8" s="124"/>
      <c r="H8" s="125"/>
      <c r="I8" s="83"/>
      <c r="J8" s="83"/>
      <c r="K8" s="83"/>
      <c r="L8" s="33"/>
      <c r="M8" s="33"/>
      <c r="N8" s="21"/>
      <c r="O8" s="21"/>
      <c r="P8" s="21"/>
      <c r="Q8" s="21"/>
    </row>
    <row r="9" spans="2:17" ht="12" customHeight="1" x14ac:dyDescent="0.35">
      <c r="B9" s="124" t="s">
        <v>129</v>
      </c>
      <c r="C9" s="124"/>
      <c r="D9" s="124"/>
      <c r="E9" s="124"/>
      <c r="F9" s="124" t="s">
        <v>59</v>
      </c>
      <c r="G9" s="124"/>
      <c r="H9" s="125">
        <v>10</v>
      </c>
      <c r="I9" s="83">
        <v>9</v>
      </c>
      <c r="J9" s="83">
        <v>8</v>
      </c>
      <c r="K9" s="83">
        <v>10</v>
      </c>
      <c r="L9" s="33">
        <v>10</v>
      </c>
      <c r="M9" s="33">
        <v>10</v>
      </c>
      <c r="N9" s="21">
        <v>10</v>
      </c>
      <c r="O9" s="21">
        <v>10</v>
      </c>
      <c r="P9" s="21">
        <v>8</v>
      </c>
      <c r="Q9" s="21">
        <v>6</v>
      </c>
    </row>
    <row r="10" spans="2:17" ht="12" customHeight="1" x14ac:dyDescent="0.35">
      <c r="B10" s="137" t="s">
        <v>130</v>
      </c>
      <c r="C10" s="137"/>
      <c r="D10" s="137"/>
      <c r="E10" s="137"/>
      <c r="F10" s="137" t="s">
        <v>59</v>
      </c>
      <c r="G10" s="137"/>
      <c r="H10" s="175">
        <v>4</v>
      </c>
      <c r="I10" s="85">
        <v>3</v>
      </c>
      <c r="J10" s="85">
        <v>5</v>
      </c>
      <c r="K10" s="85">
        <v>4</v>
      </c>
      <c r="L10" s="34">
        <v>3</v>
      </c>
      <c r="M10" s="34">
        <v>3</v>
      </c>
      <c r="N10" s="22">
        <v>3</v>
      </c>
      <c r="O10" s="22">
        <v>3</v>
      </c>
      <c r="P10" s="22">
        <v>6</v>
      </c>
      <c r="Q10" s="22">
        <v>6</v>
      </c>
    </row>
    <row r="11" spans="2:17" ht="12" customHeight="1" x14ac:dyDescent="0.35">
      <c r="B11" s="130" t="s">
        <v>16</v>
      </c>
      <c r="C11" s="130"/>
      <c r="D11" s="130"/>
      <c r="E11" s="130"/>
      <c r="F11" s="130"/>
      <c r="G11" s="130"/>
      <c r="H11" s="119">
        <f t="shared" ref="H11:M11" si="2">SUM(H9:H10)</f>
        <v>14</v>
      </c>
      <c r="I11" s="86">
        <f t="shared" si="2"/>
        <v>12</v>
      </c>
      <c r="J11" s="86">
        <f t="shared" si="2"/>
        <v>13</v>
      </c>
      <c r="K11" s="86">
        <f t="shared" si="2"/>
        <v>14</v>
      </c>
      <c r="L11" s="35">
        <f t="shared" si="2"/>
        <v>13</v>
      </c>
      <c r="M11" s="35">
        <f t="shared" si="2"/>
        <v>13</v>
      </c>
      <c r="N11" s="24">
        <f t="shared" ref="N11:Q11" si="3">SUM(N9:N10)</f>
        <v>13</v>
      </c>
      <c r="O11" s="24">
        <f t="shared" si="3"/>
        <v>13</v>
      </c>
      <c r="P11" s="24">
        <f t="shared" si="3"/>
        <v>14</v>
      </c>
      <c r="Q11" s="24">
        <f t="shared" si="3"/>
        <v>12</v>
      </c>
    </row>
    <row r="12" spans="2:17" ht="12" customHeight="1" x14ac:dyDescent="0.35">
      <c r="B12" s="130"/>
      <c r="C12" s="130"/>
      <c r="D12" s="130"/>
      <c r="E12" s="130"/>
      <c r="F12" s="130"/>
      <c r="G12" s="130"/>
      <c r="H12" s="119"/>
      <c r="I12" s="86"/>
      <c r="J12" s="86"/>
      <c r="K12" s="86"/>
      <c r="L12" s="35"/>
      <c r="M12" s="35"/>
      <c r="N12" s="24"/>
      <c r="O12" s="24"/>
      <c r="P12" s="24"/>
      <c r="Q12" s="24"/>
    </row>
    <row r="13" spans="2:17" ht="12" customHeight="1" x14ac:dyDescent="0.35">
      <c r="B13" s="124" t="s">
        <v>131</v>
      </c>
      <c r="C13" s="124"/>
      <c r="D13" s="124"/>
      <c r="E13" s="124"/>
      <c r="F13" s="124" t="s">
        <v>59</v>
      </c>
      <c r="G13" s="124"/>
      <c r="H13" s="125">
        <v>7</v>
      </c>
      <c r="I13" s="83">
        <v>6</v>
      </c>
      <c r="J13" s="83">
        <v>7</v>
      </c>
      <c r="K13" s="83">
        <v>7</v>
      </c>
      <c r="L13" s="33">
        <v>6</v>
      </c>
      <c r="M13" s="33">
        <v>6</v>
      </c>
      <c r="N13" s="21">
        <v>6</v>
      </c>
      <c r="O13" s="21">
        <v>6</v>
      </c>
      <c r="P13" s="21">
        <v>8</v>
      </c>
      <c r="Q13" s="21">
        <v>6</v>
      </c>
    </row>
    <row r="14" spans="2:17" ht="12" customHeight="1" x14ac:dyDescent="0.35">
      <c r="B14" s="130"/>
      <c r="C14" s="130"/>
      <c r="D14" s="130"/>
      <c r="E14" s="130"/>
      <c r="F14" s="130"/>
      <c r="G14" s="130"/>
      <c r="H14" s="119"/>
      <c r="I14" s="86"/>
      <c r="J14" s="86"/>
      <c r="K14" s="86"/>
      <c r="L14" s="35"/>
      <c r="M14" s="35"/>
      <c r="N14" s="24"/>
      <c r="O14" s="24"/>
      <c r="P14" s="24"/>
      <c r="Q14" s="24"/>
    </row>
    <row r="15" spans="2:17" ht="12" customHeight="1" x14ac:dyDescent="0.35">
      <c r="B15" s="124" t="s">
        <v>132</v>
      </c>
      <c r="C15" s="124"/>
      <c r="D15" s="124"/>
      <c r="E15" s="124"/>
      <c r="F15" s="124" t="s">
        <v>59</v>
      </c>
      <c r="G15" s="124"/>
      <c r="H15" s="125">
        <v>3</v>
      </c>
      <c r="I15" s="83">
        <v>2</v>
      </c>
      <c r="J15" s="83">
        <v>4</v>
      </c>
      <c r="K15" s="83">
        <v>4</v>
      </c>
      <c r="L15" s="33">
        <v>3</v>
      </c>
      <c r="M15" s="33">
        <v>3</v>
      </c>
      <c r="N15" s="21">
        <v>3</v>
      </c>
      <c r="O15" s="21">
        <v>3</v>
      </c>
      <c r="P15" s="21">
        <v>5</v>
      </c>
      <c r="Q15" s="21">
        <v>5</v>
      </c>
    </row>
    <row r="16" spans="2:17" ht="12" customHeight="1" x14ac:dyDescent="0.35">
      <c r="B16" s="137" t="s">
        <v>133</v>
      </c>
      <c r="C16" s="137"/>
      <c r="D16" s="137"/>
      <c r="E16" s="137"/>
      <c r="F16" s="137" t="s">
        <v>59</v>
      </c>
      <c r="G16" s="137"/>
      <c r="H16" s="175">
        <v>8</v>
      </c>
      <c r="I16" s="85">
        <v>7</v>
      </c>
      <c r="J16" s="85">
        <v>6</v>
      </c>
      <c r="K16" s="85">
        <v>7</v>
      </c>
      <c r="L16" s="34">
        <v>7</v>
      </c>
      <c r="M16" s="34">
        <v>7</v>
      </c>
      <c r="N16" s="22">
        <v>7</v>
      </c>
      <c r="O16" s="22">
        <v>7</v>
      </c>
      <c r="P16" s="22">
        <v>6</v>
      </c>
      <c r="Q16" s="22">
        <v>4</v>
      </c>
    </row>
    <row r="17" spans="2:18" ht="12" customHeight="1" x14ac:dyDescent="0.35">
      <c r="B17" s="130" t="s">
        <v>16</v>
      </c>
      <c r="C17" s="130"/>
      <c r="D17" s="130"/>
      <c r="E17" s="130"/>
      <c r="F17" s="130" t="s">
        <v>59</v>
      </c>
      <c r="G17" s="130"/>
      <c r="H17" s="119">
        <f t="shared" ref="H17:M17" si="4">SUM(H15:H16)</f>
        <v>11</v>
      </c>
      <c r="I17" s="86">
        <f t="shared" si="4"/>
        <v>9</v>
      </c>
      <c r="J17" s="86">
        <f t="shared" si="4"/>
        <v>10</v>
      </c>
      <c r="K17" s="86">
        <f t="shared" si="4"/>
        <v>11</v>
      </c>
      <c r="L17" s="35">
        <f t="shared" si="4"/>
        <v>10</v>
      </c>
      <c r="M17" s="35">
        <f t="shared" si="4"/>
        <v>10</v>
      </c>
      <c r="N17" s="24">
        <f t="shared" ref="N17:Q17" si="5">SUM(N15:N16)</f>
        <v>10</v>
      </c>
      <c r="O17" s="24">
        <f t="shared" si="5"/>
        <v>10</v>
      </c>
      <c r="P17" s="24">
        <f t="shared" si="5"/>
        <v>11</v>
      </c>
      <c r="Q17" s="24">
        <f t="shared" si="5"/>
        <v>9</v>
      </c>
    </row>
    <row r="18" spans="2:18" ht="12" customHeight="1" x14ac:dyDescent="0.35">
      <c r="B18" s="143"/>
      <c r="C18" s="143"/>
      <c r="D18" s="143"/>
      <c r="E18" s="143"/>
      <c r="F18" s="143"/>
      <c r="G18" s="143"/>
      <c r="H18" s="116"/>
      <c r="I18" s="84"/>
      <c r="J18" s="84"/>
      <c r="K18" s="84"/>
      <c r="L18" s="39"/>
      <c r="M18" s="39"/>
      <c r="N18" s="26"/>
      <c r="O18" s="26"/>
      <c r="P18" s="26"/>
      <c r="Q18" s="26"/>
    </row>
    <row r="19" spans="2:18" ht="12" customHeight="1" x14ac:dyDescent="0.35">
      <c r="B19" s="147" t="s">
        <v>134</v>
      </c>
      <c r="C19" s="147"/>
      <c r="D19" s="167"/>
      <c r="E19" s="167"/>
      <c r="F19" s="167"/>
      <c r="G19" s="173"/>
      <c r="H19" s="117"/>
      <c r="I19" s="67"/>
      <c r="J19" s="67"/>
      <c r="K19" s="67"/>
      <c r="L19" s="12"/>
      <c r="M19" s="12"/>
      <c r="N19" s="12"/>
      <c r="O19" s="12"/>
      <c r="P19" s="12"/>
      <c r="Q19" s="12"/>
    </row>
    <row r="20" spans="2:18" ht="11.4" customHeight="1" x14ac:dyDescent="0.35">
      <c r="B20" s="143"/>
      <c r="C20" s="143"/>
      <c r="D20" s="143"/>
      <c r="E20" s="143"/>
      <c r="F20" s="143"/>
      <c r="G20" s="143"/>
      <c r="H20" s="116"/>
      <c r="I20" s="84"/>
      <c r="J20" s="84"/>
      <c r="K20" s="84"/>
      <c r="L20" s="39"/>
      <c r="M20" s="39"/>
      <c r="N20" s="52"/>
      <c r="O20" s="52"/>
      <c r="P20" s="52"/>
      <c r="Q20" s="52"/>
    </row>
    <row r="21" spans="2:18" ht="12" customHeight="1" x14ac:dyDescent="0.35">
      <c r="B21" s="131" t="s">
        <v>135</v>
      </c>
      <c r="C21" s="131"/>
      <c r="D21" s="163"/>
      <c r="E21" s="163"/>
      <c r="F21" s="163"/>
      <c r="G21" s="133"/>
      <c r="H21" s="176"/>
      <c r="I21" s="82"/>
      <c r="J21" s="82"/>
      <c r="K21" s="82"/>
      <c r="L21" s="32"/>
      <c r="M21" s="32"/>
      <c r="N21" s="17"/>
      <c r="O21" s="17"/>
      <c r="P21" s="17"/>
      <c r="Q21" s="17"/>
      <c r="R21" s="49"/>
    </row>
    <row r="22" spans="2:18" ht="12" customHeight="1" x14ac:dyDescent="0.35">
      <c r="B22" s="124" t="s">
        <v>136</v>
      </c>
      <c r="C22" s="124"/>
      <c r="D22" s="124" t="s">
        <v>7</v>
      </c>
      <c r="E22" s="124"/>
      <c r="F22" s="124" t="s">
        <v>59</v>
      </c>
      <c r="G22" s="124"/>
      <c r="H22" s="125">
        <v>1153</v>
      </c>
      <c r="I22" s="83">
        <v>1201</v>
      </c>
      <c r="J22" s="83">
        <v>1201</v>
      </c>
      <c r="K22" s="83">
        <v>1092</v>
      </c>
      <c r="L22" s="33">
        <v>1059</v>
      </c>
      <c r="M22" s="33">
        <v>933</v>
      </c>
      <c r="N22" s="38">
        <v>538</v>
      </c>
      <c r="O22" s="51" t="s">
        <v>23</v>
      </c>
      <c r="P22" s="51" t="s">
        <v>23</v>
      </c>
      <c r="Q22" s="51" t="s">
        <v>23</v>
      </c>
      <c r="R22" s="49"/>
    </row>
    <row r="23" spans="2:18" ht="12" customHeight="1" x14ac:dyDescent="0.35">
      <c r="B23" s="124" t="s">
        <v>137</v>
      </c>
      <c r="C23" s="124"/>
      <c r="D23" s="124" t="s">
        <v>7</v>
      </c>
      <c r="E23" s="124"/>
      <c r="F23" s="124" t="s">
        <v>59</v>
      </c>
      <c r="G23" s="124"/>
      <c r="H23" s="125">
        <v>62</v>
      </c>
      <c r="I23" s="83">
        <v>61</v>
      </c>
      <c r="J23" s="83">
        <v>91</v>
      </c>
      <c r="K23" s="83">
        <v>118</v>
      </c>
      <c r="L23" s="33">
        <v>237</v>
      </c>
      <c r="M23" s="33">
        <v>281</v>
      </c>
      <c r="N23" s="38">
        <v>140</v>
      </c>
      <c r="O23" s="51" t="s">
        <v>23</v>
      </c>
      <c r="P23" s="51" t="s">
        <v>23</v>
      </c>
      <c r="Q23" s="51" t="s">
        <v>23</v>
      </c>
      <c r="R23" s="49"/>
    </row>
    <row r="24" spans="2:18" ht="12" customHeight="1" x14ac:dyDescent="0.35">
      <c r="B24" s="143"/>
      <c r="C24" s="143"/>
      <c r="D24" s="143"/>
      <c r="E24" s="143"/>
      <c r="F24" s="143"/>
      <c r="G24" s="143"/>
      <c r="H24" s="116"/>
      <c r="I24" s="84"/>
      <c r="J24" s="84"/>
      <c r="K24" s="84"/>
      <c r="L24" s="39"/>
      <c r="M24" s="39"/>
      <c r="N24" s="52"/>
      <c r="O24" s="52"/>
      <c r="P24" s="52"/>
      <c r="Q24" s="52"/>
    </row>
    <row r="25" spans="2:18" ht="12" customHeight="1" x14ac:dyDescent="0.35">
      <c r="B25" s="131" t="s">
        <v>138</v>
      </c>
      <c r="C25" s="131"/>
      <c r="D25" s="163"/>
      <c r="E25" s="163"/>
      <c r="F25" s="163"/>
      <c r="G25" s="133"/>
      <c r="H25" s="176"/>
      <c r="I25" s="82"/>
      <c r="J25" s="82"/>
      <c r="K25" s="82"/>
      <c r="L25" s="32"/>
      <c r="M25" s="32"/>
      <c r="N25" s="17"/>
      <c r="O25" s="17"/>
      <c r="P25" s="17"/>
      <c r="Q25" s="17"/>
      <c r="R25" s="49"/>
    </row>
    <row r="26" spans="2:18" ht="12" customHeight="1" x14ac:dyDescent="0.35">
      <c r="B26" s="124" t="s">
        <v>139</v>
      </c>
      <c r="C26" s="124"/>
      <c r="D26" s="124" t="s">
        <v>7</v>
      </c>
      <c r="E26" s="124"/>
      <c r="F26" s="124" t="s">
        <v>59</v>
      </c>
      <c r="G26" s="124"/>
      <c r="H26" s="177">
        <v>113</v>
      </c>
      <c r="I26" s="95">
        <v>123</v>
      </c>
      <c r="J26" s="95">
        <v>153</v>
      </c>
      <c r="K26" s="95">
        <v>177</v>
      </c>
      <c r="L26" s="41" t="s">
        <v>23</v>
      </c>
      <c r="M26" s="41" t="s">
        <v>23</v>
      </c>
      <c r="N26" s="41" t="s">
        <v>23</v>
      </c>
      <c r="O26" s="41" t="s">
        <v>23</v>
      </c>
      <c r="P26" s="41" t="s">
        <v>23</v>
      </c>
      <c r="Q26" s="41" t="s">
        <v>23</v>
      </c>
      <c r="R26" s="49"/>
    </row>
    <row r="27" spans="2:18" ht="12" customHeight="1" x14ac:dyDescent="0.35">
      <c r="B27" s="124" t="s">
        <v>140</v>
      </c>
      <c r="C27" s="124"/>
      <c r="D27" s="124" t="s">
        <v>7</v>
      </c>
      <c r="E27" s="124"/>
      <c r="F27" s="124" t="s">
        <v>59</v>
      </c>
      <c r="G27" s="124"/>
      <c r="H27" s="177">
        <v>62</v>
      </c>
      <c r="I27" s="95">
        <v>73</v>
      </c>
      <c r="J27" s="95">
        <v>86</v>
      </c>
      <c r="K27" s="95">
        <v>69</v>
      </c>
      <c r="L27" s="41" t="s">
        <v>23</v>
      </c>
      <c r="M27" s="41" t="s">
        <v>23</v>
      </c>
      <c r="N27" s="41" t="s">
        <v>23</v>
      </c>
      <c r="O27" s="41" t="s">
        <v>23</v>
      </c>
      <c r="P27" s="41" t="s">
        <v>23</v>
      </c>
      <c r="Q27" s="41" t="s">
        <v>23</v>
      </c>
      <c r="R27" s="49"/>
    </row>
    <row r="28" spans="2:18" ht="12" customHeight="1" x14ac:dyDescent="0.35">
      <c r="B28" s="124" t="s">
        <v>141</v>
      </c>
      <c r="C28" s="124"/>
      <c r="D28" s="124" t="s">
        <v>7</v>
      </c>
      <c r="E28" s="124"/>
      <c r="F28" s="124" t="s">
        <v>59</v>
      </c>
      <c r="G28" s="124"/>
      <c r="H28" s="177">
        <v>497</v>
      </c>
      <c r="I28" s="95">
        <v>496</v>
      </c>
      <c r="J28" s="95">
        <v>475</v>
      </c>
      <c r="K28" s="95">
        <v>429</v>
      </c>
      <c r="L28" s="41" t="s">
        <v>23</v>
      </c>
      <c r="M28" s="41" t="s">
        <v>23</v>
      </c>
      <c r="N28" s="41" t="s">
        <v>23</v>
      </c>
      <c r="O28" s="41" t="s">
        <v>23</v>
      </c>
      <c r="P28" s="41" t="s">
        <v>23</v>
      </c>
      <c r="Q28" s="41" t="s">
        <v>23</v>
      </c>
      <c r="R28" s="49"/>
    </row>
    <row r="29" spans="2:18" ht="12" customHeight="1" x14ac:dyDescent="0.35">
      <c r="B29" s="124" t="s">
        <v>142</v>
      </c>
      <c r="C29" s="124"/>
      <c r="D29" s="124" t="s">
        <v>7</v>
      </c>
      <c r="E29" s="124"/>
      <c r="F29" s="124" t="s">
        <v>59</v>
      </c>
      <c r="G29" s="124"/>
      <c r="H29" s="177">
        <v>14</v>
      </c>
      <c r="I29" s="95">
        <v>19</v>
      </c>
      <c r="J29" s="95">
        <v>6</v>
      </c>
      <c r="K29" s="95">
        <v>20</v>
      </c>
      <c r="L29" s="41" t="s">
        <v>23</v>
      </c>
      <c r="M29" s="41" t="s">
        <v>23</v>
      </c>
      <c r="N29" s="41" t="s">
        <v>23</v>
      </c>
      <c r="O29" s="41" t="s">
        <v>23</v>
      </c>
      <c r="P29" s="41" t="s">
        <v>23</v>
      </c>
      <c r="Q29" s="41" t="s">
        <v>23</v>
      </c>
      <c r="R29" s="49"/>
    </row>
    <row r="30" spans="2:18" ht="12" customHeight="1" x14ac:dyDescent="0.35">
      <c r="B30" s="124" t="s">
        <v>143</v>
      </c>
      <c r="C30" s="124"/>
      <c r="D30" s="124" t="s">
        <v>7</v>
      </c>
      <c r="E30" s="124"/>
      <c r="F30" s="124" t="s">
        <v>59</v>
      </c>
      <c r="G30" s="124"/>
      <c r="H30" s="177">
        <v>84</v>
      </c>
      <c r="I30" s="95">
        <v>79</v>
      </c>
      <c r="J30" s="41" t="s">
        <v>23</v>
      </c>
      <c r="K30" s="41" t="s">
        <v>23</v>
      </c>
      <c r="L30" s="41" t="s">
        <v>23</v>
      </c>
      <c r="M30" s="41" t="s">
        <v>23</v>
      </c>
      <c r="N30" s="41" t="s">
        <v>23</v>
      </c>
      <c r="O30" s="41" t="s">
        <v>23</v>
      </c>
      <c r="P30" s="41" t="s">
        <v>23</v>
      </c>
      <c r="Q30" s="41" t="s">
        <v>23</v>
      </c>
      <c r="R30" s="49"/>
    </row>
    <row r="31" spans="2:18" ht="12" customHeight="1" x14ac:dyDescent="0.35">
      <c r="B31" s="124" t="s">
        <v>144</v>
      </c>
      <c r="C31" s="124"/>
      <c r="D31" s="124" t="s">
        <v>7</v>
      </c>
      <c r="E31" s="124"/>
      <c r="F31" s="124" t="s">
        <v>59</v>
      </c>
      <c r="G31" s="124"/>
      <c r="H31" s="129" t="s">
        <v>23</v>
      </c>
      <c r="I31" s="41" t="s">
        <v>23</v>
      </c>
      <c r="J31" s="41" t="s">
        <v>23</v>
      </c>
      <c r="K31" s="41" t="s">
        <v>23</v>
      </c>
      <c r="L31" s="41" t="s">
        <v>23</v>
      </c>
      <c r="M31" s="41" t="s">
        <v>23</v>
      </c>
      <c r="N31" s="41" t="s">
        <v>23</v>
      </c>
      <c r="O31" s="41" t="s">
        <v>23</v>
      </c>
      <c r="P31" s="41" t="s">
        <v>23</v>
      </c>
      <c r="Q31" s="41" t="s">
        <v>23</v>
      </c>
      <c r="R31" s="49"/>
    </row>
    <row r="32" spans="2:18" ht="12" customHeight="1" x14ac:dyDescent="0.35">
      <c r="B32" s="124" t="s">
        <v>145</v>
      </c>
      <c r="C32" s="124"/>
      <c r="D32" s="124" t="s">
        <v>7</v>
      </c>
      <c r="E32" s="124"/>
      <c r="F32" s="124" t="s">
        <v>59</v>
      </c>
      <c r="G32" s="124"/>
      <c r="H32" s="177">
        <v>214</v>
      </c>
      <c r="I32" s="95">
        <v>179</v>
      </c>
      <c r="J32" s="95">
        <v>183</v>
      </c>
      <c r="K32" s="95">
        <v>125</v>
      </c>
      <c r="L32" s="41" t="s">
        <v>23</v>
      </c>
      <c r="M32" s="41" t="s">
        <v>23</v>
      </c>
      <c r="N32" s="41" t="s">
        <v>23</v>
      </c>
      <c r="O32" s="41" t="s">
        <v>23</v>
      </c>
      <c r="P32" s="41" t="s">
        <v>23</v>
      </c>
      <c r="Q32" s="41" t="s">
        <v>23</v>
      </c>
      <c r="R32" s="49"/>
    </row>
    <row r="33" spans="2:18" ht="12" customHeight="1" x14ac:dyDescent="0.35">
      <c r="B33" s="137" t="s">
        <v>146</v>
      </c>
      <c r="C33" s="137"/>
      <c r="D33" s="137" t="s">
        <v>7</v>
      </c>
      <c r="E33" s="137"/>
      <c r="F33" s="137" t="s">
        <v>59</v>
      </c>
      <c r="G33" s="137"/>
      <c r="H33" s="178">
        <v>169</v>
      </c>
      <c r="I33" s="96">
        <v>232</v>
      </c>
      <c r="J33" s="96">
        <v>298</v>
      </c>
      <c r="K33" s="96">
        <v>272</v>
      </c>
      <c r="L33" s="42" t="s">
        <v>23</v>
      </c>
      <c r="M33" s="42" t="s">
        <v>23</v>
      </c>
      <c r="N33" s="42" t="s">
        <v>23</v>
      </c>
      <c r="O33" s="42" t="s">
        <v>23</v>
      </c>
      <c r="P33" s="42" t="s">
        <v>23</v>
      </c>
      <c r="Q33" s="42" t="s">
        <v>23</v>
      </c>
      <c r="R33" s="49"/>
    </row>
    <row r="34" spans="2:18" ht="12" customHeight="1" x14ac:dyDescent="0.35">
      <c r="B34" s="130" t="s">
        <v>16</v>
      </c>
      <c r="C34" s="130"/>
      <c r="D34" s="130"/>
      <c r="E34" s="130"/>
      <c r="F34" s="130" t="s">
        <v>59</v>
      </c>
      <c r="G34" s="130"/>
      <c r="H34" s="64">
        <f>SUM(H26:H33)</f>
        <v>1153</v>
      </c>
      <c r="I34" s="97">
        <f>SUM(I26:I33)</f>
        <v>1201</v>
      </c>
      <c r="J34" s="97">
        <f>SUM(J26:J33)</f>
        <v>1201</v>
      </c>
      <c r="K34" s="97">
        <f>SUM(K26:K33)</f>
        <v>1092</v>
      </c>
      <c r="L34" s="40" t="s">
        <v>23</v>
      </c>
      <c r="M34" s="40" t="s">
        <v>23</v>
      </c>
      <c r="N34" s="40" t="s">
        <v>23</v>
      </c>
      <c r="O34" s="40" t="s">
        <v>23</v>
      </c>
      <c r="P34" s="40" t="s">
        <v>23</v>
      </c>
      <c r="Q34" s="40" t="s">
        <v>23</v>
      </c>
      <c r="R34" s="49"/>
    </row>
    <row r="35" spans="2:18" ht="12" customHeight="1" x14ac:dyDescent="0.35">
      <c r="B35" s="143"/>
      <c r="C35" s="143"/>
      <c r="D35" s="143"/>
      <c r="E35" s="143"/>
      <c r="F35" s="143"/>
      <c r="G35" s="143"/>
      <c r="H35" s="116"/>
      <c r="I35" s="84"/>
      <c r="J35" s="84"/>
      <c r="K35" s="84"/>
      <c r="L35" s="39"/>
      <c r="M35" s="39"/>
      <c r="N35" s="52"/>
      <c r="O35" s="52"/>
      <c r="P35" s="52"/>
      <c r="Q35" s="52"/>
    </row>
    <row r="36" spans="2:18" ht="12" customHeight="1" x14ac:dyDescent="0.35">
      <c r="B36" s="131" t="s">
        <v>147</v>
      </c>
      <c r="C36" s="131"/>
      <c r="D36" s="163"/>
      <c r="E36" s="163"/>
      <c r="F36" s="163"/>
      <c r="G36" s="133"/>
      <c r="H36" s="176"/>
      <c r="I36" s="82"/>
      <c r="J36" s="82"/>
      <c r="K36" s="82"/>
      <c r="L36" s="32"/>
      <c r="M36" s="32"/>
      <c r="N36" s="17"/>
      <c r="O36" s="17"/>
      <c r="P36" s="17"/>
      <c r="Q36" s="17"/>
      <c r="R36" s="49"/>
    </row>
    <row r="37" spans="2:18" ht="12" customHeight="1" x14ac:dyDescent="0.35">
      <c r="B37" s="124" t="s">
        <v>148</v>
      </c>
      <c r="C37" s="124"/>
      <c r="D37" s="124" t="s">
        <v>7</v>
      </c>
      <c r="E37" s="124"/>
      <c r="F37" s="124" t="s">
        <v>66</v>
      </c>
      <c r="G37" s="124"/>
      <c r="H37" s="129">
        <v>0.99</v>
      </c>
      <c r="I37" s="87">
        <v>0.99</v>
      </c>
      <c r="J37" s="87">
        <v>0.98</v>
      </c>
      <c r="K37" s="87">
        <v>0.99</v>
      </c>
      <c r="L37" s="41">
        <v>0.99</v>
      </c>
      <c r="M37" s="37" t="s">
        <v>23</v>
      </c>
      <c r="N37" s="37" t="s">
        <v>23</v>
      </c>
      <c r="O37" s="37" t="s">
        <v>23</v>
      </c>
      <c r="P37" s="37" t="s">
        <v>23</v>
      </c>
      <c r="Q37" s="37" t="s">
        <v>23</v>
      </c>
      <c r="R37" s="49"/>
    </row>
    <row r="38" spans="2:18" ht="12" customHeight="1" x14ac:dyDescent="0.35">
      <c r="B38" s="124" t="s">
        <v>194</v>
      </c>
      <c r="C38" s="124"/>
      <c r="D38" s="124" t="s">
        <v>7</v>
      </c>
      <c r="E38" s="124"/>
      <c r="F38" s="124" t="s">
        <v>66</v>
      </c>
      <c r="G38" s="124"/>
      <c r="H38" s="129">
        <v>0.99</v>
      </c>
      <c r="I38" s="87">
        <v>0.99</v>
      </c>
      <c r="J38" s="87">
        <v>0.99</v>
      </c>
      <c r="K38" s="87">
        <v>0.93</v>
      </c>
      <c r="L38" s="41">
        <v>0.99</v>
      </c>
      <c r="M38" s="37" t="s">
        <v>23</v>
      </c>
      <c r="N38" s="37" t="s">
        <v>23</v>
      </c>
      <c r="O38" s="37" t="s">
        <v>23</v>
      </c>
      <c r="P38" s="37" t="s">
        <v>23</v>
      </c>
      <c r="Q38" s="37" t="s">
        <v>23</v>
      </c>
      <c r="R38" s="49"/>
    </row>
    <row r="39" spans="2:18" ht="12" customHeight="1" x14ac:dyDescent="0.35">
      <c r="B39" s="124" t="s">
        <v>195</v>
      </c>
      <c r="C39" s="124"/>
      <c r="D39" s="124" t="s">
        <v>7</v>
      </c>
      <c r="E39" s="124"/>
      <c r="F39" s="124" t="s">
        <v>66</v>
      </c>
      <c r="G39" s="124"/>
      <c r="H39" s="129">
        <v>0.97</v>
      </c>
      <c r="I39" s="87">
        <v>0.94</v>
      </c>
      <c r="J39" s="87">
        <v>0.98</v>
      </c>
      <c r="K39" s="87" t="s">
        <v>23</v>
      </c>
      <c r="L39" s="41" t="s">
        <v>23</v>
      </c>
      <c r="M39" s="37" t="s">
        <v>23</v>
      </c>
      <c r="N39" s="37" t="s">
        <v>23</v>
      </c>
      <c r="O39" s="37" t="s">
        <v>23</v>
      </c>
      <c r="P39" s="37" t="s">
        <v>23</v>
      </c>
      <c r="Q39" s="37" t="s">
        <v>23</v>
      </c>
      <c r="R39" s="49"/>
    </row>
    <row r="40" spans="2:18" ht="12" customHeight="1" x14ac:dyDescent="0.35">
      <c r="B40" s="143"/>
      <c r="C40" s="143"/>
      <c r="D40" s="143"/>
      <c r="E40" s="143"/>
      <c r="F40" s="143"/>
      <c r="G40" s="143"/>
      <c r="H40" s="179"/>
      <c r="I40" s="114"/>
      <c r="J40" s="114"/>
      <c r="K40" s="114"/>
      <c r="L40" s="115"/>
      <c r="M40" s="47"/>
      <c r="N40" s="47"/>
      <c r="O40" s="47"/>
      <c r="P40" s="47"/>
      <c r="Q40" s="47"/>
      <c r="R40" s="49"/>
    </row>
    <row r="41" spans="2:18" ht="12" customHeight="1" x14ac:dyDescent="0.35">
      <c r="B41" s="131" t="s">
        <v>183</v>
      </c>
      <c r="C41" s="131"/>
      <c r="D41" s="163"/>
      <c r="E41" s="163"/>
      <c r="F41" s="163"/>
      <c r="G41" s="163"/>
      <c r="H41" s="176"/>
      <c r="I41" s="82"/>
      <c r="J41" s="82"/>
      <c r="K41" s="82"/>
      <c r="L41" s="32"/>
      <c r="M41" s="32"/>
      <c r="N41" s="17"/>
      <c r="O41" s="17"/>
      <c r="P41" s="17"/>
      <c r="Q41" s="17"/>
    </row>
    <row r="42" spans="2:18" ht="12" customHeight="1" x14ac:dyDescent="0.35">
      <c r="B42" s="130" t="s">
        <v>184</v>
      </c>
      <c r="C42" s="130"/>
      <c r="D42" s="133" t="s">
        <v>7</v>
      </c>
      <c r="E42" s="133"/>
      <c r="F42" s="133" t="s">
        <v>185</v>
      </c>
      <c r="G42" s="133"/>
      <c r="H42" s="53">
        <v>311</v>
      </c>
      <c r="I42" s="71">
        <v>410</v>
      </c>
      <c r="J42" s="37" t="s">
        <v>23</v>
      </c>
      <c r="K42" s="41" t="s">
        <v>23</v>
      </c>
      <c r="L42" s="37" t="s">
        <v>23</v>
      </c>
      <c r="M42" s="37" t="s">
        <v>23</v>
      </c>
      <c r="N42" s="37" t="s">
        <v>23</v>
      </c>
      <c r="O42" s="37" t="s">
        <v>23</v>
      </c>
      <c r="P42" s="37" t="s">
        <v>23</v>
      </c>
      <c r="Q42" s="37" t="s">
        <v>23</v>
      </c>
    </row>
    <row r="43" spans="2:18" ht="12" customHeight="1" x14ac:dyDescent="0.35">
      <c r="B43" s="143"/>
      <c r="C43" s="143"/>
      <c r="D43" s="143"/>
      <c r="E43" s="143"/>
      <c r="F43" s="143"/>
      <c r="G43" s="143"/>
      <c r="H43" s="116"/>
      <c r="I43" s="84"/>
      <c r="J43" s="84"/>
      <c r="K43" s="84"/>
      <c r="L43" s="39"/>
      <c r="M43" s="39"/>
      <c r="N43" s="52"/>
      <c r="O43" s="52"/>
      <c r="P43" s="52"/>
      <c r="Q43" s="52"/>
    </row>
    <row r="44" spans="2:18" ht="12" customHeight="1" x14ac:dyDescent="0.35">
      <c r="B44" s="147" t="s">
        <v>149</v>
      </c>
      <c r="C44" s="147"/>
      <c r="D44" s="167"/>
      <c r="E44" s="167"/>
      <c r="F44" s="167"/>
      <c r="G44" s="173"/>
      <c r="H44" s="117"/>
      <c r="I44" s="67"/>
      <c r="J44" s="67"/>
      <c r="K44" s="67"/>
      <c r="L44" s="12"/>
      <c r="M44" s="12"/>
      <c r="N44" s="12"/>
      <c r="O44" s="12"/>
      <c r="P44" s="12"/>
      <c r="Q44" s="12"/>
    </row>
    <row r="45" spans="2:18" ht="12" customHeight="1" x14ac:dyDescent="0.35">
      <c r="B45" s="145"/>
      <c r="C45" s="145"/>
      <c r="D45" s="146"/>
      <c r="E45" s="146"/>
      <c r="F45" s="146"/>
      <c r="G45" s="144"/>
      <c r="I45" s="93"/>
      <c r="J45" s="93"/>
      <c r="K45" s="93"/>
    </row>
    <row r="46" spans="2:18" ht="12" customHeight="1" x14ac:dyDescent="0.35">
      <c r="B46" s="131" t="s">
        <v>150</v>
      </c>
      <c r="C46" s="131"/>
      <c r="D46" s="163"/>
      <c r="E46" s="163"/>
      <c r="F46" s="163"/>
      <c r="G46" s="133"/>
      <c r="H46" s="176"/>
      <c r="I46" s="82"/>
      <c r="J46" s="82"/>
      <c r="K46" s="82"/>
      <c r="L46" s="32"/>
      <c r="M46" s="32"/>
      <c r="N46" s="17"/>
      <c r="O46" s="17"/>
      <c r="P46" s="17"/>
      <c r="Q46" s="17"/>
    </row>
    <row r="47" spans="2:18" ht="12" customHeight="1" x14ac:dyDescent="0.35">
      <c r="B47" s="130" t="s">
        <v>151</v>
      </c>
      <c r="C47" s="130"/>
      <c r="D47" s="133" t="s">
        <v>7</v>
      </c>
      <c r="E47" s="133"/>
      <c r="F47" s="133" t="s">
        <v>59</v>
      </c>
      <c r="G47" s="133"/>
      <c r="H47" s="53">
        <v>93</v>
      </c>
      <c r="I47" s="71">
        <v>79</v>
      </c>
      <c r="J47" s="71">
        <v>123</v>
      </c>
      <c r="K47" s="71">
        <v>114</v>
      </c>
      <c r="L47" s="45">
        <v>124</v>
      </c>
      <c r="M47" s="45">
        <v>83</v>
      </c>
      <c r="N47" s="45">
        <v>160</v>
      </c>
      <c r="O47" s="45">
        <v>176</v>
      </c>
      <c r="P47" s="45">
        <v>238</v>
      </c>
      <c r="Q47" s="45">
        <v>330</v>
      </c>
    </row>
    <row r="48" spans="2:18" ht="12" customHeight="1" x14ac:dyDescent="0.35">
      <c r="B48" s="130" t="s">
        <v>152</v>
      </c>
      <c r="C48" s="130"/>
      <c r="D48" s="133" t="s">
        <v>7</v>
      </c>
      <c r="E48" s="133"/>
      <c r="F48" s="133" t="s">
        <v>66</v>
      </c>
      <c r="G48" s="133"/>
      <c r="H48" s="181">
        <v>0.92</v>
      </c>
      <c r="I48" s="120">
        <v>0.89</v>
      </c>
      <c r="J48" s="120">
        <v>0.85</v>
      </c>
      <c r="K48" s="120">
        <v>0.97</v>
      </c>
      <c r="L48" s="37" t="s">
        <v>23</v>
      </c>
      <c r="M48" s="37" t="s">
        <v>23</v>
      </c>
      <c r="N48" s="37" t="s">
        <v>23</v>
      </c>
      <c r="O48" s="37" t="s">
        <v>23</v>
      </c>
      <c r="P48" s="37" t="s">
        <v>23</v>
      </c>
      <c r="Q48" s="37" t="s">
        <v>23</v>
      </c>
    </row>
    <row r="49" spans="2:19" ht="12" customHeight="1" x14ac:dyDescent="0.35">
      <c r="B49" s="130" t="s">
        <v>153</v>
      </c>
      <c r="C49" s="130"/>
      <c r="D49" s="133" t="s">
        <v>7</v>
      </c>
      <c r="E49" s="133"/>
      <c r="F49" s="133" t="s">
        <v>66</v>
      </c>
      <c r="G49" s="133"/>
      <c r="H49" s="181">
        <v>0.02</v>
      </c>
      <c r="I49" s="120">
        <v>0.03</v>
      </c>
      <c r="J49" s="120">
        <v>0.01</v>
      </c>
      <c r="K49" s="121">
        <v>0</v>
      </c>
      <c r="L49" s="37" t="s">
        <v>23</v>
      </c>
      <c r="M49" s="37" t="s">
        <v>23</v>
      </c>
      <c r="N49" s="37" t="s">
        <v>23</v>
      </c>
      <c r="O49" s="37" t="s">
        <v>23</v>
      </c>
      <c r="P49" s="37" t="s">
        <v>23</v>
      </c>
      <c r="Q49" s="37" t="s">
        <v>23</v>
      </c>
    </row>
    <row r="50" spans="2:19" ht="12" customHeight="1" x14ac:dyDescent="0.35">
      <c r="B50" s="130" t="s">
        <v>154</v>
      </c>
      <c r="C50" s="130"/>
      <c r="D50" s="133" t="s">
        <v>7</v>
      </c>
      <c r="E50" s="133"/>
      <c r="F50" s="133" t="s">
        <v>66</v>
      </c>
      <c r="G50" s="133"/>
      <c r="H50" s="181">
        <v>0.85</v>
      </c>
      <c r="I50" s="120">
        <v>0.84</v>
      </c>
      <c r="J50" s="120">
        <v>0.79</v>
      </c>
      <c r="K50" s="120">
        <v>0.73</v>
      </c>
      <c r="L50" s="37" t="s">
        <v>23</v>
      </c>
      <c r="M50" s="37" t="s">
        <v>23</v>
      </c>
      <c r="N50" s="37" t="s">
        <v>23</v>
      </c>
      <c r="O50" s="37" t="s">
        <v>23</v>
      </c>
      <c r="P50" s="37" t="s">
        <v>23</v>
      </c>
      <c r="Q50" s="37" t="s">
        <v>23</v>
      </c>
    </row>
    <row r="51" spans="2:19" ht="12" customHeight="1" x14ac:dyDescent="0.35">
      <c r="B51" s="130" t="s">
        <v>155</v>
      </c>
      <c r="C51" s="130"/>
      <c r="D51" s="133" t="s">
        <v>7</v>
      </c>
      <c r="E51" s="133"/>
      <c r="F51" s="133" t="s">
        <v>66</v>
      </c>
      <c r="G51" s="133"/>
      <c r="H51" s="181">
        <v>0.5</v>
      </c>
      <c r="I51" s="120">
        <v>0.5</v>
      </c>
      <c r="J51" s="120">
        <v>1</v>
      </c>
      <c r="K51" s="120">
        <v>0.63</v>
      </c>
      <c r="L51" s="37" t="s">
        <v>23</v>
      </c>
      <c r="M51" s="37" t="s">
        <v>23</v>
      </c>
      <c r="N51" s="37" t="s">
        <v>23</v>
      </c>
      <c r="O51" s="37" t="s">
        <v>23</v>
      </c>
      <c r="P51" s="37" t="s">
        <v>23</v>
      </c>
      <c r="Q51" s="37" t="s">
        <v>23</v>
      </c>
    </row>
    <row r="52" spans="2:19" ht="12" customHeight="1" x14ac:dyDescent="0.35">
      <c r="B52" s="143"/>
      <c r="C52" s="143"/>
      <c r="D52" s="144"/>
      <c r="E52" s="144"/>
      <c r="F52" s="144"/>
      <c r="G52" s="144"/>
      <c r="H52" s="182"/>
      <c r="I52" s="80"/>
      <c r="J52" s="80"/>
      <c r="K52" s="80"/>
      <c r="L52" s="47"/>
      <c r="M52" s="47"/>
      <c r="N52" s="47"/>
      <c r="O52" s="47"/>
      <c r="P52" s="47"/>
      <c r="Q52" s="47"/>
    </row>
    <row r="53" spans="2:19" ht="12" customHeight="1" x14ac:dyDescent="0.35">
      <c r="B53" s="131" t="s">
        <v>187</v>
      </c>
      <c r="C53" s="131"/>
      <c r="D53" s="163"/>
      <c r="E53" s="163"/>
      <c r="F53" s="163"/>
      <c r="G53" s="163"/>
      <c r="H53" s="176"/>
      <c r="I53" s="82"/>
      <c r="J53" s="82"/>
      <c r="K53" s="82"/>
      <c r="L53" s="32"/>
      <c r="M53" s="32"/>
      <c r="N53" s="17"/>
      <c r="O53" s="17"/>
      <c r="P53" s="17"/>
      <c r="Q53" s="17"/>
    </row>
    <row r="54" spans="2:19" s="101" customFormat="1" ht="12" customHeight="1" x14ac:dyDescent="0.35">
      <c r="B54" s="130" t="s">
        <v>181</v>
      </c>
      <c r="C54" s="130"/>
      <c r="D54" s="133" t="s">
        <v>7</v>
      </c>
      <c r="E54" s="133"/>
      <c r="F54" s="133" t="s">
        <v>182</v>
      </c>
      <c r="G54" s="133"/>
      <c r="H54" s="53">
        <v>81</v>
      </c>
      <c r="I54" s="71">
        <v>81</v>
      </c>
      <c r="J54" s="174" t="s">
        <v>23</v>
      </c>
      <c r="K54" s="174" t="s">
        <v>23</v>
      </c>
      <c r="L54" s="148" t="s">
        <v>23</v>
      </c>
      <c r="M54" s="148" t="s">
        <v>23</v>
      </c>
      <c r="N54" s="102" t="s">
        <v>23</v>
      </c>
      <c r="O54" s="102" t="s">
        <v>23</v>
      </c>
      <c r="P54" s="102" t="s">
        <v>23</v>
      </c>
      <c r="Q54" s="102" t="s">
        <v>23</v>
      </c>
    </row>
    <row r="55" spans="2:19" ht="12" customHeight="1" x14ac:dyDescent="0.35">
      <c r="B55" s="143"/>
      <c r="C55" s="143"/>
      <c r="D55" s="144"/>
      <c r="E55" s="144"/>
      <c r="F55" s="144"/>
      <c r="G55" s="144"/>
      <c r="H55" s="182"/>
      <c r="I55" s="47"/>
      <c r="J55" s="47"/>
      <c r="K55" s="47"/>
      <c r="L55" s="47"/>
      <c r="M55" s="47"/>
      <c r="N55" s="30"/>
      <c r="O55" s="30"/>
      <c r="P55" s="30"/>
      <c r="Q55" s="30"/>
    </row>
    <row r="56" spans="2:19" ht="12" customHeight="1" x14ac:dyDescent="0.35">
      <c r="B56" s="143" t="s">
        <v>52</v>
      </c>
      <c r="C56" s="143"/>
      <c r="D56" s="144"/>
      <c r="E56" s="144"/>
      <c r="F56" s="144"/>
      <c r="G56" s="144"/>
      <c r="H56" s="169"/>
      <c r="I56" s="8"/>
      <c r="J56" s="8"/>
      <c r="K56" s="8"/>
      <c r="L56" s="8"/>
      <c r="M56" s="8"/>
      <c r="S56" s="63"/>
    </row>
    <row r="57" spans="2:19" ht="12" customHeight="1" x14ac:dyDescent="0.35">
      <c r="B57" s="66" t="s">
        <v>180</v>
      </c>
      <c r="C57" s="6"/>
      <c r="D57" s="3"/>
      <c r="E57" s="3"/>
      <c r="F57" s="3"/>
      <c r="G57" s="3"/>
      <c r="H57" s="25"/>
      <c r="I57" s="4"/>
      <c r="J57" s="4"/>
      <c r="K57" s="4"/>
      <c r="L57" s="4"/>
      <c r="M57" s="4"/>
      <c r="S57" s="63"/>
    </row>
    <row r="58" spans="2:19" ht="12" customHeight="1" x14ac:dyDescent="0.35">
      <c r="B58" s="6" t="s">
        <v>53</v>
      </c>
      <c r="C58" s="6"/>
      <c r="D58" s="3"/>
      <c r="E58" s="3"/>
      <c r="F58" s="3"/>
      <c r="G58" s="3"/>
      <c r="H58" s="25"/>
      <c r="I58" s="4"/>
      <c r="J58" s="4"/>
      <c r="K58" s="4"/>
      <c r="L58" s="4"/>
      <c r="M58" s="4"/>
    </row>
    <row r="59" spans="2:19" ht="12" customHeight="1" x14ac:dyDescent="0.35">
      <c r="B59" s="6" t="s">
        <v>54</v>
      </c>
      <c r="C59" s="6"/>
      <c r="D59" s="3"/>
      <c r="E59" s="3"/>
      <c r="F59" s="3"/>
      <c r="G59" s="3"/>
      <c r="H59" s="25"/>
      <c r="I59" s="4"/>
      <c r="J59" s="4"/>
      <c r="K59" s="4"/>
      <c r="L59" s="4"/>
      <c r="M59" s="4"/>
    </row>
    <row r="62" spans="2:19" ht="12" customHeight="1" x14ac:dyDescent="0.35">
      <c r="H62" s="25"/>
      <c r="I62" s="4"/>
      <c r="J62" s="4"/>
      <c r="K62" s="4"/>
    </row>
    <row r="63" spans="2:19" ht="12" customHeight="1" x14ac:dyDescent="0.35">
      <c r="H63" s="25"/>
      <c r="I63" s="4"/>
      <c r="J63" s="4"/>
      <c r="K63" s="4"/>
    </row>
    <row r="65" spans="8:11" ht="12" customHeight="1" x14ac:dyDescent="0.35">
      <c r="H65" s="25"/>
      <c r="I65" s="4"/>
      <c r="J65" s="4"/>
      <c r="K65" s="4"/>
    </row>
    <row r="66" spans="8:11" ht="12" customHeight="1" x14ac:dyDescent="0.35">
      <c r="H66" s="25"/>
      <c r="I66" s="4"/>
      <c r="J66" s="4"/>
      <c r="K66" s="4"/>
    </row>
    <row r="68" spans="8:11" ht="12" customHeight="1" x14ac:dyDescent="0.35">
      <c r="H68" s="25"/>
      <c r="I68" s="4"/>
      <c r="J68" s="4"/>
      <c r="K68" s="4"/>
    </row>
    <row r="69" spans="8:11" ht="12" customHeight="1" x14ac:dyDescent="0.35">
      <c r="H69" s="25"/>
      <c r="I69" s="4"/>
      <c r="J69" s="4"/>
      <c r="K69" s="4"/>
    </row>
    <row r="71" spans="8:11" ht="12" customHeight="1" x14ac:dyDescent="0.35">
      <c r="H71" s="25"/>
      <c r="I71" s="4"/>
      <c r="J71" s="4"/>
      <c r="K71" s="4"/>
    </row>
    <row r="72" spans="8:11" ht="12" customHeight="1" x14ac:dyDescent="0.35">
      <c r="H72" s="25"/>
      <c r="I72" s="4"/>
      <c r="J72" s="4"/>
      <c r="K72" s="4"/>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15A198E0BF2246B56A54FF071492AA" ma:contentTypeVersion="18" ma:contentTypeDescription="Create a new document." ma:contentTypeScope="" ma:versionID="e6863b4a3bbde4e00f1f09f604af94ad">
  <xsd:schema xmlns:xsd="http://www.w3.org/2001/XMLSchema" xmlns:xs="http://www.w3.org/2001/XMLSchema" xmlns:p="http://schemas.microsoft.com/office/2006/metadata/properties" xmlns:ns2="897003ab-9769-450c-a23c-d4df79125c20" xmlns:ns3="aad73236-3d51-4716-9438-9671520281a9" xmlns:ns4="d8762117-8292-4133-b1c7-eab5c6487cfd" targetNamespace="http://schemas.microsoft.com/office/2006/metadata/properties" ma:root="true" ma:fieldsID="7ec79bcc6e46ce5b7976ea1a009f013d" ns2:_="" ns3:_="" ns4:_="">
    <xsd:import namespace="897003ab-9769-450c-a23c-d4df79125c20"/>
    <xsd:import namespace="aad73236-3d51-4716-9438-9671520281a9"/>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003ab-9769-450c-a23c-d4df79125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73236-3d51-4716-9438-9671520281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df92912-dd97-496f-95ae-363475755ddf}" ma:internalName="TaxCatchAll" ma:showField="CatchAllData" ma:web="aad73236-3d51-4716-9438-9671520281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lcf76f155ced4ddcb4097134ff3c332f xmlns="897003ab-9769-450c-a23c-d4df79125c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30124C-C60B-4172-8A64-B8952BE81984}"/>
</file>

<file path=customXml/itemProps2.xml><?xml version="1.0" encoding="utf-8"?>
<ds:datastoreItem xmlns:ds="http://schemas.openxmlformats.org/officeDocument/2006/customXml" ds:itemID="{F68AC870-4192-4916-975F-B571EEC4BE60}">
  <ds:schemaRefs>
    <ds:schemaRef ds:uri="http://purl.org/dc/terms/"/>
    <ds:schemaRef ds:uri="http://schemas.openxmlformats.org/package/2006/metadata/core-properties"/>
    <ds:schemaRef ds:uri="http://schemas.microsoft.com/office/2006/documentManagement/types"/>
    <ds:schemaRef ds:uri="d8762117-8292-4133-b1c7-eab5c6487cfd"/>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a8454cc9-4f0e-441f-b9bd-664d63f9b836"/>
    <ds:schemaRef ds:uri="eec6e05c-4e88-48c0-9e8f-50a73e9cfcb5"/>
  </ds:schemaRefs>
</ds:datastoreItem>
</file>

<file path=customXml/itemProps3.xml><?xml version="1.0" encoding="utf-8"?>
<ds:datastoreItem xmlns:ds="http://schemas.openxmlformats.org/officeDocument/2006/customXml" ds:itemID="{D288D01C-7F72-4751-A9E2-EE9697613BE9}">
  <ds:schemaRefs>
    <ds:schemaRef ds:uri="http://schemas.microsoft.com/sharepoint/v3/contenttype/forms"/>
  </ds:schemaRefs>
</ds:datastoreItem>
</file>

<file path=docMetadata/LabelInfo.xml><?xml version="1.0" encoding="utf-8"?>
<clbl:labelList xmlns:clbl="http://schemas.microsoft.com/office/2020/mipLabelMetadata">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Environmental Data</vt:lpstr>
      <vt:lpstr>Social Data</vt:lpstr>
      <vt:lpstr>Governance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Samson Teklu</dc:creator>
  <cp:keywords/>
  <dc:description/>
  <cp:lastModifiedBy>Pernilla Raj</cp:lastModifiedBy>
  <cp:revision/>
  <dcterms:created xsi:type="dcterms:W3CDTF">2021-04-20T10:47:06Z</dcterms:created>
  <dcterms:modified xsi:type="dcterms:W3CDTF">2026-02-24T15:14:52Z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0x0101001615A198E0BF2246B56A54FF071492AA</vt:lpwstr>
  </property>
  <property fmtid="{D5CDD505-2E9C-101B-9397-08002B2CF9AE}" pid="3" name="MediaServiceImageTags">
    <vt:lpwstr/>
  </property>
</Properties>
</file>